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la7284/Downloads/"/>
    </mc:Choice>
  </mc:AlternateContent>
  <xr:revisionPtr revIDLastSave="0" documentId="13_ncr:1_{26A484EC-F9B0-2244-B452-672A46E2B43F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Blank" sheetId="1" r:id="rId1"/>
    <sheet name="Sample Complet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7" i="2"/>
  <c r="L18" i="1"/>
  <c r="L6" i="1"/>
  <c r="B6" i="1" l="1"/>
  <c r="B7" i="1" s="1"/>
  <c r="B8" i="1" s="1"/>
  <c r="B9" i="1" s="1"/>
  <c r="B10" i="1" s="1"/>
  <c r="B23" i="1"/>
  <c r="B22" i="1"/>
  <c r="B21" i="1"/>
  <c r="B20" i="1"/>
  <c r="B19" i="1"/>
  <c r="B12" i="1" l="1"/>
  <c r="B13" i="1" s="1"/>
  <c r="B14" i="1" s="1"/>
  <c r="B15" i="1" s="1"/>
  <c r="B16" i="1" s="1"/>
  <c r="B17" i="1" s="1"/>
  <c r="B18" i="1" s="1"/>
  <c r="B11" i="1"/>
  <c r="E13" i="1"/>
  <c r="D13" i="1"/>
  <c r="F13" i="1" l="1"/>
  <c r="I23" i="1" l="1"/>
  <c r="H23" i="1"/>
  <c r="G23" i="1"/>
  <c r="F23" i="1"/>
  <c r="E23" i="1"/>
  <c r="D23" i="1"/>
  <c r="I22" i="1"/>
  <c r="H22" i="1"/>
  <c r="G22" i="1"/>
  <c r="F22" i="1"/>
  <c r="E22" i="1"/>
  <c r="D22" i="1"/>
  <c r="I21" i="1"/>
  <c r="H21" i="1"/>
  <c r="G21" i="1"/>
  <c r="F21" i="1"/>
  <c r="E21" i="1"/>
  <c r="D21" i="1"/>
  <c r="I20" i="1"/>
  <c r="H20" i="1"/>
  <c r="G20" i="1"/>
  <c r="F20" i="1"/>
  <c r="E20" i="1"/>
  <c r="D20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H14" i="1"/>
  <c r="G14" i="1"/>
  <c r="F14" i="1"/>
  <c r="E14" i="1"/>
  <c r="D14" i="1"/>
  <c r="I13" i="1"/>
  <c r="H13" i="1"/>
  <c r="G13" i="1"/>
  <c r="I12" i="1"/>
  <c r="H12" i="1"/>
  <c r="G12" i="1"/>
  <c r="F12" i="1"/>
  <c r="E12" i="1"/>
  <c r="D12" i="1"/>
  <c r="I11" i="1"/>
  <c r="H11" i="1"/>
  <c r="G11" i="1"/>
  <c r="F11" i="1"/>
  <c r="E11" i="1"/>
  <c r="D11" i="1"/>
  <c r="I10" i="1"/>
  <c r="H10" i="1"/>
  <c r="G10" i="1"/>
  <c r="F10" i="1"/>
  <c r="E10" i="1"/>
  <c r="D10" i="1"/>
  <c r="I9" i="1"/>
  <c r="H9" i="1"/>
  <c r="G9" i="1"/>
  <c r="F9" i="1"/>
  <c r="E9" i="1"/>
  <c r="D9" i="1"/>
  <c r="I8" i="1"/>
  <c r="H8" i="1"/>
  <c r="G8" i="1"/>
  <c r="F8" i="1"/>
  <c r="E8" i="1"/>
  <c r="D8" i="1"/>
  <c r="I7" i="1"/>
  <c r="H7" i="1"/>
  <c r="G7" i="1"/>
  <c r="F7" i="1"/>
  <c r="E7" i="1"/>
  <c r="D7" i="1"/>
  <c r="I6" i="1"/>
  <c r="H6" i="1"/>
  <c r="G6" i="1"/>
  <c r="F6" i="1"/>
  <c r="E6" i="1"/>
  <c r="D6" i="1"/>
  <c r="I5" i="1"/>
  <c r="H5" i="1"/>
  <c r="G5" i="1"/>
  <c r="F5" i="1"/>
  <c r="E5" i="1"/>
  <c r="D5" i="1"/>
  <c r="I47" i="2" l="1"/>
  <c r="H47" i="2"/>
  <c r="G47" i="2"/>
  <c r="F47" i="2"/>
  <c r="E47" i="2"/>
  <c r="D47" i="2"/>
  <c r="B32" i="2"/>
  <c r="B33" i="2" s="1"/>
  <c r="D31" i="2"/>
  <c r="B30" i="2"/>
  <c r="D30" i="2" s="1"/>
  <c r="D29" i="2"/>
  <c r="E29" i="2" s="1"/>
  <c r="F29" i="2" s="1"/>
  <c r="I26" i="2"/>
  <c r="I23" i="2"/>
  <c r="H23" i="2"/>
  <c r="G23" i="2"/>
  <c r="F23" i="2"/>
  <c r="E23" i="2"/>
  <c r="D23" i="2"/>
  <c r="K9" i="2"/>
  <c r="B6" i="2"/>
  <c r="D6" i="2" s="1"/>
  <c r="D5" i="2"/>
  <c r="E5" i="2" s="1"/>
  <c r="F2" i="2"/>
  <c r="D2" i="2"/>
  <c r="I2" i="1"/>
  <c r="B7" i="2" l="1"/>
  <c r="D7" i="2" s="1"/>
  <c r="G29" i="2"/>
  <c r="H29" i="2"/>
  <c r="I29" i="2" s="1"/>
  <c r="F5" i="2"/>
  <c r="E6" i="2"/>
  <c r="F6" i="2" s="1"/>
  <c r="E30" i="2"/>
  <c r="E31" i="2" s="1"/>
  <c r="I2" i="2"/>
  <c r="B34" i="2"/>
  <c r="D33" i="2"/>
  <c r="D32" i="2"/>
  <c r="E7" i="2" l="1"/>
  <c r="F7" i="2" s="1"/>
  <c r="B8" i="2"/>
  <c r="D8" i="2" s="1"/>
  <c r="F30" i="2"/>
  <c r="G30" i="2" s="1"/>
  <c r="H5" i="2"/>
  <c r="I5" i="2" s="1"/>
  <c r="G5" i="2"/>
  <c r="F31" i="2"/>
  <c r="E32" i="2"/>
  <c r="B35" i="2"/>
  <c r="D34" i="2"/>
  <c r="G6" i="2"/>
  <c r="H6" i="2"/>
  <c r="I6" i="2" s="1"/>
  <c r="H30" i="2" l="1"/>
  <c r="I30" i="2" s="1"/>
  <c r="B9" i="2"/>
  <c r="B10" i="2" s="1"/>
  <c r="E8" i="2"/>
  <c r="F8" i="2" s="1"/>
  <c r="H7" i="2"/>
  <c r="I7" i="2" s="1"/>
  <c r="G7" i="2"/>
  <c r="D35" i="2"/>
  <c r="B36" i="2"/>
  <c r="E33" i="2"/>
  <c r="F32" i="2"/>
  <c r="H31" i="2"/>
  <c r="I31" i="2" s="1"/>
  <c r="G31" i="2"/>
  <c r="D9" i="2" l="1"/>
  <c r="E9" i="2" s="1"/>
  <c r="F9" i="2" s="1"/>
  <c r="B11" i="2"/>
  <c r="D10" i="2"/>
  <c r="E34" i="2"/>
  <c r="F33" i="2"/>
  <c r="G8" i="2"/>
  <c r="H8" i="2"/>
  <c r="I8" i="2" s="1"/>
  <c r="G32" i="2"/>
  <c r="H32" i="2"/>
  <c r="I32" i="2" s="1"/>
  <c r="B37" i="2"/>
  <c r="D36" i="2"/>
  <c r="E10" i="2" l="1"/>
  <c r="F10" i="2" s="1"/>
  <c r="D11" i="2"/>
  <c r="B12" i="2"/>
  <c r="B38" i="2"/>
  <c r="D37" i="2"/>
  <c r="G9" i="2"/>
  <c r="H9" i="2"/>
  <c r="I9" i="2" s="1"/>
  <c r="H33" i="2"/>
  <c r="I33" i="2" s="1"/>
  <c r="G33" i="2"/>
  <c r="E35" i="2"/>
  <c r="F34" i="2"/>
  <c r="E11" i="2" l="1"/>
  <c r="F11" i="2" s="1"/>
  <c r="B13" i="2"/>
  <c r="D12" i="2"/>
  <c r="B39" i="2"/>
  <c r="D38" i="2"/>
  <c r="E38" i="2" s="1"/>
  <c r="H34" i="2"/>
  <c r="I34" i="2" s="1"/>
  <c r="G34" i="2"/>
  <c r="H10" i="2"/>
  <c r="I10" i="2" s="1"/>
  <c r="G10" i="2"/>
  <c r="F35" i="2"/>
  <c r="E36" i="2"/>
  <c r="E12" i="2" l="1"/>
  <c r="F12" i="2" s="1"/>
  <c r="B14" i="2"/>
  <c r="D13" i="2"/>
  <c r="D39" i="2"/>
  <c r="E39" i="2" s="1"/>
  <c r="B40" i="2"/>
  <c r="H11" i="2"/>
  <c r="I11" i="2" s="1"/>
  <c r="G11" i="2"/>
  <c r="E37" i="2"/>
  <c r="F37" i="2" s="1"/>
  <c r="F36" i="2"/>
  <c r="K33" i="2" s="1"/>
  <c r="H35" i="2"/>
  <c r="I35" i="2" s="1"/>
  <c r="G35" i="2"/>
  <c r="J37" i="2" l="1"/>
  <c r="E13" i="2"/>
  <c r="F13" i="2" s="1"/>
  <c r="G13" i="2" s="1"/>
  <c r="D14" i="2"/>
  <c r="E14" i="2" s="1"/>
  <c r="J14" i="2" s="1"/>
  <c r="B15" i="2"/>
  <c r="G12" i="2"/>
  <c r="H12" i="2"/>
  <c r="I12" i="2" s="1"/>
  <c r="G36" i="2"/>
  <c r="H36" i="2"/>
  <c r="I36" i="2" s="1"/>
  <c r="B41" i="2"/>
  <c r="D40" i="2"/>
  <c r="E40" i="2" s="1"/>
  <c r="F38" i="2"/>
  <c r="H37" i="2"/>
  <c r="I37" i="2" s="1"/>
  <c r="G37" i="2"/>
  <c r="H13" i="2" l="1"/>
  <c r="I13" i="2" s="1"/>
  <c r="F14" i="2"/>
  <c r="H14" i="2" s="1"/>
  <c r="I14" i="2" s="1"/>
  <c r="D15" i="2"/>
  <c r="E15" i="2" s="1"/>
  <c r="B16" i="2"/>
  <c r="F39" i="2"/>
  <c r="G38" i="2"/>
  <c r="H38" i="2"/>
  <c r="I38" i="2" s="1"/>
  <c r="B42" i="2"/>
  <c r="D41" i="2"/>
  <c r="E41" i="2" s="1"/>
  <c r="G14" i="2" l="1"/>
  <c r="F15" i="2"/>
  <c r="H15" i="2" s="1"/>
  <c r="I15" i="2" s="1"/>
  <c r="B17" i="2"/>
  <c r="D16" i="2"/>
  <c r="E16" i="2" s="1"/>
  <c r="H39" i="2"/>
  <c r="I39" i="2" s="1"/>
  <c r="F40" i="2"/>
  <c r="G39" i="2"/>
  <c r="D42" i="2"/>
  <c r="E42" i="2" s="1"/>
  <c r="B43" i="2"/>
  <c r="G15" i="2" l="1"/>
  <c r="F16" i="2"/>
  <c r="H16" i="2" s="1"/>
  <c r="I16" i="2" s="1"/>
  <c r="D17" i="2"/>
  <c r="E17" i="2" s="1"/>
  <c r="B18" i="2"/>
  <c r="H40" i="2"/>
  <c r="I40" i="2" s="1"/>
  <c r="G40" i="2"/>
  <c r="F41" i="2"/>
  <c r="B44" i="2"/>
  <c r="D43" i="2"/>
  <c r="E43" i="2" s="1"/>
  <c r="G16" i="2" l="1"/>
  <c r="F17" i="2"/>
  <c r="H17" i="2" s="1"/>
  <c r="I17" i="2" s="1"/>
  <c r="D18" i="2"/>
  <c r="E18" i="2" s="1"/>
  <c r="B19" i="2"/>
  <c r="D44" i="2"/>
  <c r="E44" i="2" s="1"/>
  <c r="B45" i="2"/>
  <c r="F42" i="2"/>
  <c r="G41" i="2"/>
  <c r="H41" i="2"/>
  <c r="I41" i="2" s="1"/>
  <c r="G17" i="2" l="1"/>
  <c r="F18" i="2"/>
  <c r="H18" i="2" s="1"/>
  <c r="I18" i="2" s="1"/>
  <c r="D19" i="2"/>
  <c r="E19" i="2" s="1"/>
  <c r="B20" i="2"/>
  <c r="G42" i="2"/>
  <c r="F43" i="2"/>
  <c r="H42" i="2"/>
  <c r="I42" i="2" s="1"/>
  <c r="D45" i="2"/>
  <c r="E45" i="2" s="1"/>
  <c r="B46" i="2"/>
  <c r="G18" i="2" l="1"/>
  <c r="F19" i="2"/>
  <c r="H19" i="2" s="1"/>
  <c r="I19" i="2" s="1"/>
  <c r="D20" i="2"/>
  <c r="E20" i="2" s="1"/>
  <c r="B21" i="2"/>
  <c r="B47" i="2"/>
  <c r="D46" i="2"/>
  <c r="E46" i="2" s="1"/>
  <c r="H43" i="2"/>
  <c r="I43" i="2" s="1"/>
  <c r="F44" i="2"/>
  <c r="G43" i="2"/>
  <c r="F20" i="2" l="1"/>
  <c r="G20" i="2" s="1"/>
  <c r="G19" i="2"/>
  <c r="D21" i="2"/>
  <c r="E21" i="2" s="1"/>
  <c r="B22" i="2"/>
  <c r="H44" i="2"/>
  <c r="I44" i="2" s="1"/>
  <c r="F45" i="2"/>
  <c r="G44" i="2"/>
  <c r="H20" i="2" l="1"/>
  <c r="I20" i="2" s="1"/>
  <c r="F21" i="2"/>
  <c r="G21" i="2" s="1"/>
  <c r="B23" i="2"/>
  <c r="D22" i="2"/>
  <c r="E22" i="2" s="1"/>
  <c r="H45" i="2"/>
  <c r="I45" i="2" s="1"/>
  <c r="G45" i="2"/>
  <c r="F46" i="2"/>
  <c r="K41" i="2" s="1"/>
  <c r="H21" i="2" l="1"/>
  <c r="I21" i="2" s="1"/>
  <c r="F22" i="2"/>
  <c r="H22" i="2" s="1"/>
  <c r="I22" i="2" s="1"/>
  <c r="G46" i="2"/>
  <c r="H46" i="2"/>
  <c r="I46" i="2" s="1"/>
  <c r="G22" i="2" l="1"/>
</calcChain>
</file>

<file path=xl/sharedStrings.xml><?xml version="1.0" encoding="utf-8"?>
<sst xmlns="http://schemas.openxmlformats.org/spreadsheetml/2006/main" count="123" uniqueCount="50">
  <si>
    <t>Remaining</t>
  </si>
  <si>
    <t>Hours</t>
  </si>
  <si>
    <t>Pay Period</t>
  </si>
  <si>
    <t>Pay</t>
  </si>
  <si>
    <t>Gross</t>
  </si>
  <si>
    <t>Semester</t>
  </si>
  <si>
    <t>Per</t>
  </si>
  <si>
    <t>Ending Date</t>
  </si>
  <si>
    <t>Rate</t>
  </si>
  <si>
    <t>Worked</t>
  </si>
  <si>
    <t>Earnings</t>
  </si>
  <si>
    <t>Award</t>
  </si>
  <si>
    <t>Total</t>
  </si>
  <si>
    <t>Week</t>
  </si>
  <si>
    <t>Total FALL Remaining</t>
  </si>
  <si>
    <t>HR Emplid</t>
  </si>
  <si>
    <t>Under Remaining Hours Section</t>
  </si>
  <si>
    <t>Mouse, Mickey</t>
  </si>
  <si>
    <t>Emplid</t>
  </si>
  <si>
    <t>XXXXXXXXX</t>
  </si>
  <si>
    <t>XXXXXX</t>
  </si>
  <si>
    <t>SA 2, step 1</t>
  </si>
  <si>
    <t>Approved for hourly for fall</t>
  </si>
  <si>
    <t>Remaining hourly for fall</t>
  </si>
  <si>
    <t>Mouse, Minnie</t>
  </si>
  <si>
    <t>SA 2, step 4</t>
  </si>
  <si>
    <t>SA 4, step 1</t>
  </si>
  <si>
    <t xml:space="preserve">Press F2 or select cell and it will take you into that cell and you can see how the other employers earnings were added </t>
  </si>
  <si>
    <t>Any usused spring work-study is cancelled and DOES NOT carry over to summer.</t>
  </si>
  <si>
    <t>Name:</t>
  </si>
  <si>
    <t>Student ID:</t>
  </si>
  <si>
    <t>See sample on other tab</t>
  </si>
  <si>
    <t>Or Change the award amounts once awards have been adjusted in CUSIS</t>
  </si>
  <si>
    <t>Students not graduating in the fall can continue to work. Fall term ends on 12/20/25. Must be enrolled by 12/21/2025 to begin using their work-study for the spring term.</t>
  </si>
  <si>
    <t>Any unused fall work-study will carry over to spring. You may need to adjust the 12/20/25 pay period by adding the amount in column J back into formula.</t>
  </si>
  <si>
    <t>Total: How much in dollars the student has left to earn until the end of fall or spring term</t>
  </si>
  <si>
    <t>XXXXXX-2 employers</t>
  </si>
  <si>
    <t>Remaining hourly amount</t>
  </si>
  <si>
    <t>move box to field if they went over</t>
  </si>
  <si>
    <t xml:space="preserve">may need to change the "+" or "-" </t>
  </si>
  <si>
    <t>to calculate correctly</t>
  </si>
  <si>
    <t>Approved for hourly for spring</t>
  </si>
  <si>
    <r>
      <t xml:space="preserve">STUDENTS WHO GRADUATE IN THE </t>
    </r>
    <r>
      <rPr>
        <b/>
        <sz val="10"/>
        <rFont val="Arial"/>
        <family val="2"/>
      </rPr>
      <t>FALL</t>
    </r>
    <r>
      <rPr>
        <sz val="10"/>
        <rFont val="Arial"/>
        <family val="2"/>
      </rPr>
      <t xml:space="preserve"> TERM MUST STOP WORKING ON </t>
    </r>
    <r>
      <rPr>
        <b/>
        <sz val="10"/>
        <rFont val="Arial"/>
        <family val="2"/>
      </rPr>
      <t>12/12/25</t>
    </r>
  </si>
  <si>
    <r>
      <t xml:space="preserve">STUDENTS WHO GRADUATE IN THE </t>
    </r>
    <r>
      <rPr>
        <b/>
        <sz val="10"/>
        <rFont val="Arial"/>
        <family val="2"/>
      </rPr>
      <t>SPRING</t>
    </r>
    <r>
      <rPr>
        <sz val="10"/>
        <rFont val="Arial"/>
        <family val="2"/>
      </rPr>
      <t xml:space="preserve"> TERM MUST STOP WORKING ON </t>
    </r>
    <r>
      <rPr>
        <b/>
        <sz val="10"/>
        <rFont val="Arial"/>
        <family val="2"/>
      </rPr>
      <t>5/2/26</t>
    </r>
  </si>
  <si>
    <t>Spring Amount</t>
  </si>
  <si>
    <t>Fall Amount</t>
  </si>
  <si>
    <t>Total Work-Study</t>
  </si>
  <si>
    <t>Per Week: How many hours a student should work in a week to not go over their amount and go until the end of fall or spring term</t>
  </si>
  <si>
    <t>Per Pay Period: How many hours a student should work in a bi-weekly pay period to not go over their amount and go until the end of fall or spring term</t>
  </si>
  <si>
    <t>If the student is working for 2 employers or more using their work-study amount you can enter the gross pay column and enter their dollar amount earned there.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</si>
</sst>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;[Red]\(0.00\)"/>
  </numFmts>
  <fonts count="15">
    <font>
      <sz val="10"/>
      <name val="Arial"/>
    </font>
    <font>
      <sz val="10"/>
      <name val="Arial"/>
      <family val="2"/>
    </font>
    <font>
      <sz val="10"/>
      <color indexed="12"/>
      <name val="Helv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  <family val="2"/>
    </font>
    <font>
      <sz val="10"/>
      <color indexed="12"/>
      <name val="Arial"/>
      <family val="2"/>
    </font>
    <font>
      <sz val="9.5"/>
      <name val="Arial"/>
      <family val="2"/>
    </font>
    <font>
      <sz val="6.5"/>
      <name val="Arial"/>
      <family val="2"/>
    </font>
    <font>
      <sz val="9.5"/>
      <color indexed="14"/>
      <name val="Arial"/>
      <family val="2"/>
    </font>
    <font>
      <sz val="10"/>
      <color rgb="FF0061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14" fontId="5" fillId="0" borderId="1" xfId="0" applyNumberFormat="1" applyFont="1" applyBorder="1" applyAlignment="1">
      <alignment horizontal="center"/>
    </xf>
    <xf numFmtId="7" fontId="5" fillId="2" borderId="0" xfId="0" applyNumberFormat="1" applyFont="1" applyFill="1" applyAlignment="1">
      <alignment horizontal="center"/>
    </xf>
    <xf numFmtId="2" fontId="5" fillId="0" borderId="2" xfId="0" applyNumberFormat="1" applyFont="1" applyBorder="1" applyAlignment="1">
      <alignment horizontal="center"/>
    </xf>
    <xf numFmtId="8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8" fontId="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8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8" fontId="5" fillId="0" borderId="10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2" fontId="7" fillId="0" borderId="0" xfId="0" applyNumberFormat="1" applyFont="1"/>
    <xf numFmtId="44" fontId="8" fillId="4" borderId="0" xfId="1" applyFont="1" applyFill="1"/>
    <xf numFmtId="0" fontId="8" fillId="5" borderId="0" xfId="0" applyFont="1" applyFill="1"/>
    <xf numFmtId="0" fontId="4" fillId="0" borderId="0" xfId="0" applyFont="1"/>
    <xf numFmtId="164" fontId="4" fillId="0" borderId="0" xfId="0" applyNumberFormat="1" applyFont="1"/>
    <xf numFmtId="0" fontId="1" fillId="0" borderId="0" xfId="0" applyFont="1" applyAlignment="1">
      <alignment vertical="center"/>
    </xf>
    <xf numFmtId="0" fontId="11" fillId="0" borderId="0" xfId="0" applyFont="1"/>
    <xf numFmtId="7" fontId="12" fillId="7" borderId="23" xfId="2" applyNumberFormat="1" applyFont="1" applyFill="1" applyBorder="1" applyAlignment="1" applyProtection="1">
      <alignment horizontal="left"/>
    </xf>
    <xf numFmtId="0" fontId="12" fillId="7" borderId="33" xfId="2" applyNumberFormat="1" applyFont="1" applyFill="1" applyBorder="1" applyAlignment="1" applyProtection="1">
      <alignment horizontal="center"/>
    </xf>
    <xf numFmtId="8" fontId="12" fillId="7" borderId="33" xfId="2" applyNumberFormat="1" applyFont="1" applyFill="1" applyBorder="1" applyAlignment="1" applyProtection="1">
      <alignment horizontal="left"/>
    </xf>
    <xf numFmtId="8" fontId="12" fillId="7" borderId="33" xfId="2" applyNumberFormat="1" applyFont="1" applyFill="1" applyBorder="1" applyAlignment="1" applyProtection="1">
      <alignment horizontal="center"/>
    </xf>
    <xf numFmtId="8" fontId="12" fillId="7" borderId="34" xfId="2" applyNumberFormat="1" applyFont="1" applyFill="1" applyBorder="1" applyAlignment="1" applyProtection="1">
      <alignment horizontal="center"/>
    </xf>
    <xf numFmtId="7" fontId="12" fillId="7" borderId="33" xfId="2" applyNumberFormat="1" applyFont="1" applyFill="1" applyBorder="1" applyAlignment="1" applyProtection="1"/>
    <xf numFmtId="7" fontId="12" fillId="7" borderId="33" xfId="2" applyNumberFormat="1" applyFont="1" applyFill="1" applyBorder="1" applyAlignment="1" applyProtection="1">
      <alignment horizontal="center"/>
    </xf>
    <xf numFmtId="7" fontId="12" fillId="7" borderId="35" xfId="2" applyNumberFormat="1" applyFont="1" applyFill="1" applyBorder="1" applyAlignment="1" applyProtection="1">
      <alignment horizontal="right"/>
    </xf>
    <xf numFmtId="0" fontId="12" fillId="7" borderId="24" xfId="2" applyNumberFormat="1" applyFont="1" applyFill="1" applyBorder="1" applyAlignment="1" applyProtection="1">
      <alignment horizontal="left"/>
    </xf>
    <xf numFmtId="0" fontId="12" fillId="7" borderId="36" xfId="2" applyNumberFormat="1" applyFont="1" applyFill="1" applyBorder="1" applyAlignment="1" applyProtection="1">
      <alignment horizontal="center"/>
    </xf>
    <xf numFmtId="8" fontId="12" fillId="7" borderId="36" xfId="2" applyNumberFormat="1" applyFont="1" applyFill="1" applyBorder="1" applyAlignment="1" applyProtection="1">
      <alignment horizontal="center"/>
    </xf>
    <xf numFmtId="49" fontId="12" fillId="7" borderId="36" xfId="2" applyNumberFormat="1" applyFont="1" applyFill="1" applyBorder="1" applyAlignment="1" applyProtection="1">
      <alignment horizontal="center"/>
    </xf>
    <xf numFmtId="8" fontId="12" fillId="7" borderId="37" xfId="2" applyNumberFormat="1" applyFont="1" applyFill="1" applyBorder="1" applyAlignment="1" applyProtection="1">
      <alignment horizontal="center"/>
    </xf>
    <xf numFmtId="7" fontId="12" fillId="7" borderId="36" xfId="2" applyNumberFormat="1" applyFont="1" applyFill="1" applyBorder="1" applyAlignment="1" applyProtection="1"/>
    <xf numFmtId="7" fontId="12" fillId="7" borderId="36" xfId="2" applyNumberFormat="1" applyFont="1" applyFill="1" applyBorder="1" applyAlignment="1" applyProtection="1">
      <alignment horizontal="center"/>
    </xf>
    <xf numFmtId="7" fontId="12" fillId="7" borderId="32" xfId="2" applyNumberFormat="1" applyFont="1" applyFill="1" applyBorder="1" applyAlignment="1" applyProtection="1">
      <alignment horizontal="right"/>
    </xf>
    <xf numFmtId="0" fontId="12" fillId="7" borderId="25" xfId="2" applyNumberFormat="1" applyFont="1" applyFill="1" applyBorder="1" applyAlignment="1" applyProtection="1">
      <alignment horizontal="center"/>
    </xf>
    <xf numFmtId="8" fontId="12" fillId="7" borderId="2" xfId="2" applyNumberFormat="1" applyFont="1" applyFill="1" applyBorder="1" applyAlignment="1" applyProtection="1">
      <alignment horizontal="center"/>
    </xf>
    <xf numFmtId="0" fontId="12" fillId="7" borderId="2" xfId="2" applyNumberFormat="1" applyFont="1" applyFill="1" applyBorder="1" applyAlignment="1" applyProtection="1">
      <alignment horizontal="center"/>
    </xf>
    <xf numFmtId="8" fontId="12" fillId="7" borderId="26" xfId="2" applyNumberFormat="1" applyFont="1" applyFill="1" applyBorder="1" applyAlignment="1" applyProtection="1">
      <alignment horizontal="center"/>
    </xf>
    <xf numFmtId="7" fontId="12" fillId="7" borderId="3" xfId="2" applyNumberFormat="1" applyFont="1" applyFill="1" applyBorder="1" applyAlignment="1" applyProtection="1">
      <alignment horizontal="center"/>
    </xf>
    <xf numFmtId="7" fontId="12" fillId="7" borderId="27" xfId="2" applyNumberFormat="1" applyFont="1" applyFill="1" applyBorder="1" applyAlignment="1" applyProtection="1">
      <alignment horizontal="center"/>
    </xf>
    <xf numFmtId="4" fontId="12" fillId="7" borderId="28" xfId="2" applyNumberFormat="1" applyFont="1" applyFill="1" applyBorder="1" applyAlignment="1" applyProtection="1">
      <alignment horizontal="center"/>
    </xf>
    <xf numFmtId="0" fontId="12" fillId="7" borderId="24" xfId="2" applyNumberFormat="1" applyFont="1" applyFill="1" applyBorder="1" applyAlignment="1" applyProtection="1">
      <alignment horizontal="center"/>
    </xf>
    <xf numFmtId="8" fontId="12" fillId="7" borderId="29" xfId="2" applyNumberFormat="1" applyFont="1" applyFill="1" applyBorder="1" applyAlignment="1" applyProtection="1">
      <alignment horizontal="center"/>
    </xf>
    <xf numFmtId="0" fontId="12" fillId="7" borderId="29" xfId="2" applyNumberFormat="1" applyFont="1" applyFill="1" applyBorder="1" applyAlignment="1" applyProtection="1">
      <alignment horizontal="center"/>
    </xf>
    <xf numFmtId="8" fontId="12" fillId="7" borderId="30" xfId="2" applyNumberFormat="1" applyFont="1" applyFill="1" applyBorder="1" applyAlignment="1" applyProtection="1">
      <alignment horizontal="center"/>
    </xf>
    <xf numFmtId="7" fontId="12" fillId="7" borderId="31" xfId="2" applyNumberFormat="1" applyFont="1" applyFill="1" applyBorder="1" applyAlignment="1" applyProtection="1">
      <alignment horizontal="center"/>
    </xf>
    <xf numFmtId="7" fontId="12" fillId="7" borderId="29" xfId="2" applyNumberFormat="1" applyFont="1" applyFill="1" applyBorder="1" applyAlignment="1" applyProtection="1">
      <alignment horizontal="center"/>
    </xf>
    <xf numFmtId="4" fontId="12" fillId="7" borderId="32" xfId="2" applyNumberFormat="1" applyFont="1" applyFill="1" applyBorder="1" applyAlignment="1" applyProtection="1">
      <alignment horizontal="center"/>
    </xf>
    <xf numFmtId="7" fontId="1" fillId="6" borderId="0" xfId="0" applyNumberFormat="1" applyFont="1" applyFill="1" applyAlignment="1">
      <alignment horizontal="center"/>
    </xf>
    <xf numFmtId="2" fontId="1" fillId="0" borderId="2" xfId="0" applyNumberFormat="1" applyFont="1" applyBorder="1" applyAlignment="1">
      <alignment horizontal="center"/>
    </xf>
    <xf numFmtId="8" fontId="1" fillId="0" borderId="2" xfId="0" applyNumberFormat="1" applyFont="1" applyBorder="1" applyAlignment="1">
      <alignment horizontal="center"/>
    </xf>
    <xf numFmtId="8" fontId="1" fillId="0" borderId="3" xfId="0" applyNumberFormat="1" applyFont="1" applyBorder="1" applyAlignment="1">
      <alignment horizontal="center"/>
    </xf>
    <xf numFmtId="8" fontId="1" fillId="0" borderId="16" xfId="0" applyNumberFormat="1" applyFont="1" applyBorder="1" applyAlignment="1">
      <alignment horizontal="center"/>
    </xf>
    <xf numFmtId="0" fontId="5" fillId="0" borderId="0" xfId="0" applyFont="1"/>
    <xf numFmtId="8" fontId="1" fillId="0" borderId="7" xfId="0" applyNumberFormat="1" applyFont="1" applyBorder="1" applyAlignment="1">
      <alignment horizontal="center"/>
    </xf>
    <xf numFmtId="8" fontId="1" fillId="0" borderId="17" xfId="0" applyNumberFormat="1" applyFont="1" applyBorder="1" applyAlignment="1">
      <alignment horizontal="center"/>
    </xf>
    <xf numFmtId="8" fontId="1" fillId="0" borderId="18" xfId="0" applyNumberFormat="1" applyFont="1" applyBorder="1" applyAlignment="1">
      <alignment horizontal="center"/>
    </xf>
    <xf numFmtId="8" fontId="1" fillId="0" borderId="38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8" fontId="1" fillId="0" borderId="14" xfId="0" applyNumberFormat="1" applyFont="1" applyBorder="1" applyAlignment="1">
      <alignment horizontal="center"/>
    </xf>
    <xf numFmtId="8" fontId="1" fillId="0" borderId="19" xfId="0" applyNumberFormat="1" applyFont="1" applyBorder="1" applyAlignment="1">
      <alignment horizontal="center"/>
    </xf>
    <xf numFmtId="8" fontId="1" fillId="0" borderId="39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8" fontId="1" fillId="0" borderId="20" xfId="0" applyNumberFormat="1" applyFont="1" applyBorder="1" applyAlignment="1">
      <alignment horizontal="center"/>
    </xf>
    <xf numFmtId="8" fontId="1" fillId="0" borderId="21" xfId="0" applyNumberFormat="1" applyFont="1" applyBorder="1" applyAlignment="1">
      <alignment horizontal="center"/>
    </xf>
    <xf numFmtId="8" fontId="1" fillId="0" borderId="41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8" fontId="1" fillId="0" borderId="27" xfId="0" applyNumberFormat="1" applyFont="1" applyBorder="1" applyAlignment="1">
      <alignment horizontal="center"/>
    </xf>
    <xf numFmtId="8" fontId="1" fillId="0" borderId="42" xfId="0" applyNumberFormat="1" applyFont="1" applyBorder="1" applyAlignment="1">
      <alignment horizontal="center"/>
    </xf>
    <xf numFmtId="8" fontId="1" fillId="0" borderId="43" xfId="0" applyNumberFormat="1" applyFont="1" applyBorder="1" applyAlignment="1">
      <alignment horizontal="center"/>
    </xf>
    <xf numFmtId="2" fontId="1" fillId="0" borderId="44" xfId="0" applyNumberFormat="1" applyFont="1" applyBorder="1" applyAlignment="1">
      <alignment horizontal="center"/>
    </xf>
    <xf numFmtId="8" fontId="1" fillId="0" borderId="22" xfId="0" applyNumberFormat="1" applyFont="1" applyBorder="1" applyAlignment="1">
      <alignment horizontal="center"/>
    </xf>
    <xf numFmtId="0" fontId="1" fillId="0" borderId="0" xfId="0" applyFont="1"/>
    <xf numFmtId="7" fontId="12" fillId="7" borderId="23" xfId="2" applyNumberFormat="1" applyFont="1" applyFill="1" applyBorder="1" applyAlignment="1">
      <alignment horizontal="left"/>
    </xf>
    <xf numFmtId="0" fontId="12" fillId="7" borderId="24" xfId="2" applyNumberFormat="1" applyFont="1" applyFill="1" applyBorder="1" applyAlignment="1">
      <alignment horizontal="left"/>
    </xf>
    <xf numFmtId="164" fontId="1" fillId="0" borderId="0" xfId="0" applyNumberFormat="1" applyFont="1"/>
    <xf numFmtId="8" fontId="1" fillId="0" borderId="0" xfId="0" applyNumberFormat="1" applyFont="1"/>
    <xf numFmtId="2" fontId="7" fillId="0" borderId="0" xfId="3" applyNumberFormat="1" applyFont="1"/>
    <xf numFmtId="44" fontId="8" fillId="0" borderId="0" xfId="4" applyFont="1" applyFill="1"/>
    <xf numFmtId="2" fontId="9" fillId="0" borderId="0" xfId="3" applyNumberFormat="1" applyFont="1"/>
    <xf numFmtId="0" fontId="8" fillId="0" borderId="0" xfId="3" applyFont="1"/>
    <xf numFmtId="0" fontId="3" fillId="0" borderId="0" xfId="0" applyFont="1"/>
    <xf numFmtId="164" fontId="3" fillId="0" borderId="0" xfId="0" applyNumberFormat="1" applyFont="1"/>
    <xf numFmtId="0" fontId="13" fillId="0" borderId="0" xfId="3" applyFont="1"/>
    <xf numFmtId="0" fontId="13" fillId="0" borderId="0" xfId="4" applyNumberFormat="1" applyFont="1" applyFill="1"/>
    <xf numFmtId="0" fontId="14" fillId="0" borderId="0" xfId="0" applyFont="1"/>
    <xf numFmtId="14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</cellXfs>
  <cellStyles count="5">
    <cellStyle name="Currency" xfId="1" builtinId="4"/>
    <cellStyle name="Currency 2" xfId="4" xr:uid="{24C30833-C71C-4072-B94B-50DE8A121D3B}"/>
    <cellStyle name="Good" xfId="2" builtinId="26"/>
    <cellStyle name="Normal" xfId="0" builtinId="0"/>
    <cellStyle name="Normal 2" xfId="3" xr:uid="{016D8BA9-8916-41A8-8B29-215723A56FF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28</xdr:row>
      <xdr:rowOff>133349</xdr:rowOff>
    </xdr:from>
    <xdr:to>
      <xdr:col>4</xdr:col>
      <xdr:colOff>19050</xdr:colOff>
      <xdr:row>30</xdr:row>
      <xdr:rowOff>28574</xdr:rowOff>
    </xdr:to>
    <xdr:sp macro="" textlink="">
      <xdr:nvSpPr>
        <xdr:cNvPr id="2" name="Oval 1" descr="Press F2 or select cell and it will take you into that cell and you can see how the other employers earnings were added" title="Example calculati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19300" y="4667249"/>
          <a:ext cx="790575" cy="219075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="211" zoomScaleNormal="211" zoomScaleSheetLayoutView="50" workbookViewId="0">
      <selection activeCell="A19" sqref="A19"/>
    </sheetView>
  </sheetViews>
  <sheetFormatPr baseColWidth="10" defaultColWidth="8.83203125" defaultRowHeight="13"/>
  <cols>
    <col min="1" max="1" width="19.33203125" bestFit="1" customWidth="1"/>
    <col min="2" max="2" width="10.6640625" bestFit="1" customWidth="1"/>
    <col min="3" max="3" width="9" bestFit="1" customWidth="1"/>
    <col min="4" max="4" width="10.6640625" bestFit="1" customWidth="1"/>
    <col min="5" max="5" width="14" bestFit="1" customWidth="1"/>
    <col min="6" max="6" width="12.33203125" bestFit="1" customWidth="1"/>
    <col min="7" max="8" width="9" bestFit="1" customWidth="1"/>
    <col min="9" max="9" width="10" bestFit="1" customWidth="1"/>
  </cols>
  <sheetData>
    <row r="1" spans="1:16" s="1" customFormat="1" ht="13.25" customHeight="1" thickTop="1">
      <c r="A1" s="31" t="s">
        <v>29</v>
      </c>
      <c r="B1" s="31" t="s">
        <v>15</v>
      </c>
      <c r="C1" s="32"/>
      <c r="D1" s="33" t="s">
        <v>45</v>
      </c>
      <c r="E1" s="34"/>
      <c r="F1" s="35" t="s">
        <v>44</v>
      </c>
      <c r="G1" s="36"/>
      <c r="H1" s="37" t="s">
        <v>0</v>
      </c>
      <c r="I1" s="38" t="s">
        <v>46</v>
      </c>
      <c r="J1" s="22"/>
      <c r="K1" s="22"/>
      <c r="L1" s="22"/>
      <c r="M1" s="22"/>
      <c r="N1" s="22"/>
      <c r="O1" s="22"/>
      <c r="P1" s="22"/>
    </row>
    <row r="2" spans="1:16" s="1" customFormat="1" ht="13.25" customHeight="1" thickBot="1">
      <c r="A2" s="39" t="s">
        <v>30</v>
      </c>
      <c r="B2" s="39"/>
      <c r="C2" s="40"/>
      <c r="D2" s="41"/>
      <c r="E2" s="42"/>
      <c r="F2" s="43"/>
      <c r="G2" s="44"/>
      <c r="H2" s="45" t="s">
        <v>1</v>
      </c>
      <c r="I2" s="46">
        <f>+D2+F2</f>
        <v>0</v>
      </c>
      <c r="J2" s="22"/>
      <c r="K2" s="22"/>
      <c r="L2" s="22"/>
      <c r="M2" s="22"/>
      <c r="N2" s="98"/>
      <c r="O2" s="98"/>
      <c r="P2" s="22"/>
    </row>
    <row r="3" spans="1:16" s="1" customFormat="1" ht="13.25" customHeight="1">
      <c r="A3" s="47" t="s">
        <v>2</v>
      </c>
      <c r="B3" s="48" t="s">
        <v>3</v>
      </c>
      <c r="C3" s="49" t="s">
        <v>1</v>
      </c>
      <c r="D3" s="48" t="s">
        <v>4</v>
      </c>
      <c r="E3" s="48" t="s">
        <v>5</v>
      </c>
      <c r="F3" s="50" t="s">
        <v>0</v>
      </c>
      <c r="G3" s="51"/>
      <c r="H3" s="52" t="s">
        <v>6</v>
      </c>
      <c r="I3" s="53" t="s">
        <v>6</v>
      </c>
      <c r="J3" s="22"/>
      <c r="K3" s="22"/>
      <c r="L3" s="22"/>
      <c r="M3" s="22"/>
      <c r="N3" s="22"/>
      <c r="O3" s="22"/>
      <c r="P3" s="22"/>
    </row>
    <row r="4" spans="1:16" s="1" customFormat="1" ht="13.25" customHeight="1" thickBot="1">
      <c r="A4" s="54" t="s">
        <v>7</v>
      </c>
      <c r="B4" s="55" t="s">
        <v>8</v>
      </c>
      <c r="C4" s="56" t="s">
        <v>9</v>
      </c>
      <c r="D4" s="55" t="s">
        <v>3</v>
      </c>
      <c r="E4" s="55" t="s">
        <v>10</v>
      </c>
      <c r="F4" s="57" t="s">
        <v>11</v>
      </c>
      <c r="G4" s="58" t="s">
        <v>12</v>
      </c>
      <c r="H4" s="59" t="s">
        <v>13</v>
      </c>
      <c r="I4" s="60" t="s">
        <v>2</v>
      </c>
      <c r="J4" s="22"/>
      <c r="K4" s="22"/>
      <c r="L4" s="22"/>
      <c r="M4" s="22"/>
      <c r="N4" s="22"/>
      <c r="O4" s="22"/>
      <c r="P4" s="22"/>
    </row>
    <row r="5" spans="1:16" s="66" customFormat="1" ht="13.25" customHeight="1">
      <c r="A5" s="99">
        <v>45899</v>
      </c>
      <c r="B5" s="61"/>
      <c r="C5" s="62"/>
      <c r="D5" s="63" t="str">
        <f t="shared" ref="D5:D23" si="0">IF(C5="","",B5*C5)</f>
        <v/>
      </c>
      <c r="E5" s="64" t="str">
        <f>IF(C5="","",D5)</f>
        <v/>
      </c>
      <c r="F5" s="65" t="str">
        <f>IF(C5="","",D2-E5)</f>
        <v/>
      </c>
      <c r="G5" s="100" t="str">
        <f t="shared" ref="G5:G23" si="1">IF(C5="","",F5/B5)</f>
        <v/>
      </c>
      <c r="H5" s="100" t="str">
        <f>IF(C5="","",F5/(B5*18))</f>
        <v/>
      </c>
      <c r="I5" s="101" t="str">
        <f t="shared" ref="I5:I23" si="2">IF(C5="","",H5*2)</f>
        <v/>
      </c>
      <c r="J5" s="85"/>
      <c r="K5" s="85"/>
      <c r="L5" s="24">
        <v>0</v>
      </c>
      <c r="M5" s="97" t="s">
        <v>22</v>
      </c>
      <c r="N5" s="85"/>
      <c r="O5" s="85"/>
      <c r="P5" s="85"/>
    </row>
    <row r="6" spans="1:16" s="66" customFormat="1" ht="13.25" customHeight="1">
      <c r="A6" s="102">
        <v>45913</v>
      </c>
      <c r="B6" s="67">
        <f ca="1">IF(TODAY()&gt;DATEVALUE("9/07/2025"),B5,"")</f>
        <v>0</v>
      </c>
      <c r="C6" s="62"/>
      <c r="D6" s="63" t="str">
        <f t="shared" si="0"/>
        <v/>
      </c>
      <c r="E6" s="68" t="str">
        <f t="shared" ref="E6:E9" si="3">IF(C6="","",E5+D6)</f>
        <v/>
      </c>
      <c r="F6" s="69" t="str">
        <f>IF(C6="","",D2-E6)</f>
        <v/>
      </c>
      <c r="G6" s="103" t="str">
        <f t="shared" si="1"/>
        <v/>
      </c>
      <c r="H6" s="79" t="str">
        <f>IF(C6="","",F6/(B6*16))</f>
        <v/>
      </c>
      <c r="I6" s="104" t="str">
        <f t="shared" si="2"/>
        <v/>
      </c>
      <c r="J6" s="85"/>
      <c r="K6" s="85"/>
      <c r="L6" s="24">
        <f>SUM(-L5-J9)</f>
        <v>0</v>
      </c>
      <c r="M6" s="96" t="s">
        <v>37</v>
      </c>
      <c r="N6" s="85"/>
      <c r="O6" s="85"/>
      <c r="P6" s="85"/>
    </row>
    <row r="7" spans="1:16" s="66" customFormat="1" ht="13.25" customHeight="1">
      <c r="A7" s="102">
        <v>45927</v>
      </c>
      <c r="B7" s="67">
        <f ca="1">IF(TODAY()&gt;DATEVALUE("9/21/2025"),B6,"")</f>
        <v>0</v>
      </c>
      <c r="C7" s="62"/>
      <c r="D7" s="63" t="str">
        <f t="shared" si="0"/>
        <v/>
      </c>
      <c r="E7" s="68" t="str">
        <f>IF(C7="","",E6+D7)</f>
        <v/>
      </c>
      <c r="F7" s="69" t="str">
        <f>IF(C7="","",D2-E7)</f>
        <v/>
      </c>
      <c r="G7" s="103" t="str">
        <f t="shared" si="1"/>
        <v/>
      </c>
      <c r="H7" s="79" t="str">
        <f>IF(C7="","",F7/(B7*14))</f>
        <v/>
      </c>
      <c r="I7" s="104" t="str">
        <f t="shared" si="2"/>
        <v/>
      </c>
      <c r="J7" s="85"/>
      <c r="K7" s="85"/>
      <c r="L7" s="85" t="s">
        <v>38</v>
      </c>
      <c r="M7" s="88"/>
      <c r="N7" s="85"/>
      <c r="O7" s="85"/>
      <c r="P7" s="85"/>
    </row>
    <row r="8" spans="1:16" s="66" customFormat="1" ht="13.25" customHeight="1">
      <c r="A8" s="102">
        <v>45941</v>
      </c>
      <c r="B8" s="67">
        <f ca="1">IF(TODAY()&gt;DATEVALUE("10/05/2025"),B7,"")</f>
        <v>0</v>
      </c>
      <c r="C8" s="62"/>
      <c r="D8" s="63" t="str">
        <f t="shared" si="0"/>
        <v/>
      </c>
      <c r="E8" s="68" t="str">
        <f t="shared" si="3"/>
        <v/>
      </c>
      <c r="F8" s="69" t="str">
        <f>IF(C8="","",D2-E8)</f>
        <v/>
      </c>
      <c r="G8" s="103" t="str">
        <f t="shared" si="1"/>
        <v/>
      </c>
      <c r="H8" s="79" t="str">
        <f>IF(C8="","",F8/(B8*12))</f>
        <v/>
      </c>
      <c r="I8" s="104" t="str">
        <f t="shared" si="2"/>
        <v/>
      </c>
      <c r="J8" s="85"/>
      <c r="K8" s="85"/>
      <c r="L8" s="85" t="s">
        <v>39</v>
      </c>
      <c r="M8" s="88"/>
      <c r="N8" s="85"/>
      <c r="O8" s="85"/>
      <c r="P8" s="85"/>
    </row>
    <row r="9" spans="1:16" s="66" customFormat="1" ht="13.25" customHeight="1">
      <c r="A9" s="102">
        <v>45955</v>
      </c>
      <c r="B9" s="67">
        <f ca="1">IF(TODAY()&gt;DATEVALUE("10/19/2025"),B8,"")</f>
        <v>0</v>
      </c>
      <c r="C9" s="62"/>
      <c r="D9" s="63" t="str">
        <f t="shared" si="0"/>
        <v/>
      </c>
      <c r="E9" s="68" t="str">
        <f t="shared" si="3"/>
        <v/>
      </c>
      <c r="F9" s="69" t="str">
        <f>IF(C9="","",D2-E9)</f>
        <v/>
      </c>
      <c r="G9" s="103" t="str">
        <f t="shared" si="1"/>
        <v/>
      </c>
      <c r="H9" s="79" t="str">
        <f>IF(C9="","",F9/(B9*10))</f>
        <v/>
      </c>
      <c r="I9" s="104" t="str">
        <f t="shared" si="2"/>
        <v/>
      </c>
      <c r="J9" s="85"/>
      <c r="K9" s="85"/>
      <c r="L9" s="85" t="s">
        <v>40</v>
      </c>
      <c r="M9" s="88"/>
      <c r="N9" s="85"/>
      <c r="O9" s="85"/>
      <c r="P9" s="85"/>
    </row>
    <row r="10" spans="1:16" s="66" customFormat="1" ht="13.25" customHeight="1">
      <c r="A10" s="102">
        <v>45969</v>
      </c>
      <c r="B10" s="67">
        <f ca="1">IF(TODAY()&gt;DATEVALUE("11/02/2025"),B9,"")</f>
        <v>0</v>
      </c>
      <c r="C10" s="62"/>
      <c r="D10" s="63" t="str">
        <f t="shared" si="0"/>
        <v/>
      </c>
      <c r="E10" s="68" t="str">
        <f>IF(C10="","",E9+D10)</f>
        <v/>
      </c>
      <c r="F10" s="69" t="str">
        <f>IF(C10="","",D2-E10)</f>
        <v/>
      </c>
      <c r="G10" s="103" t="str">
        <f t="shared" si="1"/>
        <v/>
      </c>
      <c r="H10" s="79" t="str">
        <f>IF(C10="","",F10/(B10*8))</f>
        <v/>
      </c>
      <c r="I10" s="104" t="str">
        <f t="shared" si="2"/>
        <v/>
      </c>
      <c r="J10" s="85"/>
      <c r="K10" s="85"/>
      <c r="L10" s="85"/>
      <c r="M10" s="88"/>
      <c r="N10" s="85"/>
      <c r="O10" s="85"/>
      <c r="P10" s="85"/>
    </row>
    <row r="11" spans="1:16" s="66" customFormat="1" ht="13.25" customHeight="1">
      <c r="A11" s="102">
        <v>45983</v>
      </c>
      <c r="B11" s="67">
        <f ca="1">IF(TODAY()&gt;DATEVALUE("11/16/2025"),B10,"")</f>
        <v>0</v>
      </c>
      <c r="C11" s="62"/>
      <c r="D11" s="63" t="str">
        <f t="shared" si="0"/>
        <v/>
      </c>
      <c r="E11" s="68" t="str">
        <f>IF(C11="","",E10+D11)</f>
        <v/>
      </c>
      <c r="F11" s="69" t="str">
        <f>IF(C11="","",D2-E11)</f>
        <v/>
      </c>
      <c r="G11" s="103" t="str">
        <f t="shared" si="1"/>
        <v/>
      </c>
      <c r="H11" s="79" t="str">
        <f>IF(C11="","",F11/(B11*6))</f>
        <v/>
      </c>
      <c r="I11" s="104" t="str">
        <f t="shared" si="2"/>
        <v/>
      </c>
      <c r="J11" s="85"/>
      <c r="K11" s="85"/>
      <c r="L11" s="85"/>
      <c r="M11" s="88"/>
      <c r="N11" s="85"/>
      <c r="O11" s="85"/>
      <c r="P11" s="85"/>
    </row>
    <row r="12" spans="1:16" s="66" customFormat="1" ht="13.25" customHeight="1">
      <c r="A12" s="102">
        <v>45997</v>
      </c>
      <c r="B12" s="67">
        <f ca="1">IF(TODAY()&gt;DATEVALUE("11/30/2025"),B10,"")</f>
        <v>0</v>
      </c>
      <c r="C12" s="62"/>
      <c r="D12" s="63" t="str">
        <f t="shared" si="0"/>
        <v/>
      </c>
      <c r="E12" s="68" t="str">
        <f>IF(C12="","",E11+D12)</f>
        <v/>
      </c>
      <c r="F12" s="69" t="str">
        <f>IF(C12="","",D2-E12)</f>
        <v/>
      </c>
      <c r="G12" s="103" t="str">
        <f t="shared" si="1"/>
        <v/>
      </c>
      <c r="H12" s="79" t="str">
        <f>IF(C12="","",F12/(B12*4))</f>
        <v/>
      </c>
      <c r="I12" s="104" t="str">
        <f t="shared" si="2"/>
        <v/>
      </c>
      <c r="J12" s="89"/>
      <c r="K12" s="85"/>
      <c r="L12" s="85"/>
      <c r="M12" s="88"/>
      <c r="N12" s="85"/>
      <c r="O12" s="85"/>
      <c r="P12" s="85"/>
    </row>
    <row r="13" spans="1:16" s="66" customFormat="1" ht="13.25" customHeight="1" thickBot="1">
      <c r="A13" s="105">
        <v>46011</v>
      </c>
      <c r="B13" s="70">
        <f ca="1">IF(TODAY()&gt;DATEVALUE("12/28/2025"),B12,"")</f>
        <v>0</v>
      </c>
      <c r="C13" s="71"/>
      <c r="D13" s="72" t="str">
        <f>IF(C13="","",B13*C13)</f>
        <v/>
      </c>
      <c r="E13" s="64" t="str">
        <f>IF(C13="","",E12+D13)</f>
        <v/>
      </c>
      <c r="F13" s="73" t="str">
        <f>IF(C13="","",D2-E13+F2)</f>
        <v/>
      </c>
      <c r="G13" s="106" t="str">
        <f t="shared" si="1"/>
        <v/>
      </c>
      <c r="H13" s="107" t="str">
        <f>IF(C13="","",F13/(B13*0))</f>
        <v/>
      </c>
      <c r="I13" s="108" t="str">
        <f t="shared" si="2"/>
        <v/>
      </c>
      <c r="J13" s="89" t="e">
        <f>D2-E13</f>
        <v>#VALUE!</v>
      </c>
      <c r="K13" s="85" t="s">
        <v>14</v>
      </c>
      <c r="L13" s="85"/>
      <c r="M13" s="85"/>
      <c r="N13" s="85"/>
      <c r="O13" s="85"/>
      <c r="P13" s="85"/>
    </row>
    <row r="14" spans="1:16" s="66" customFormat="1" ht="13.25" customHeight="1" thickTop="1">
      <c r="A14" s="99">
        <v>46025</v>
      </c>
      <c r="B14" s="74">
        <f ca="1">IF(TODAY()&gt;DATEVALUE("1/11/2026"),B13,"")</f>
        <v>0</v>
      </c>
      <c r="C14" s="75"/>
      <c r="D14" s="64" t="str">
        <f t="shared" si="0"/>
        <v/>
      </c>
      <c r="E14" s="76" t="str">
        <f>IF(C14="","",D14)</f>
        <v/>
      </c>
      <c r="F14" s="77" t="str">
        <f t="shared" ref="F14:F15" si="4">IF(C14="","",F13-D14)</f>
        <v/>
      </c>
      <c r="G14" s="100" t="str">
        <f t="shared" si="1"/>
        <v/>
      </c>
      <c r="H14" s="100" t="str">
        <f>IF(C14="","",F14/(B14*18))</f>
        <v/>
      </c>
      <c r="I14" s="101" t="str">
        <f t="shared" si="2"/>
        <v/>
      </c>
      <c r="J14" s="85"/>
      <c r="K14" s="85"/>
      <c r="L14" s="85"/>
      <c r="M14" s="85"/>
      <c r="N14" s="85"/>
      <c r="O14" s="85"/>
      <c r="P14" s="85"/>
    </row>
    <row r="15" spans="1:16" s="66" customFormat="1" ht="13.25" customHeight="1">
      <c r="A15" s="102">
        <v>46039</v>
      </c>
      <c r="B15" s="78">
        <f ca="1">IF(TODAY()&gt;DATEVALUE("01/25/2026"),B14,"")</f>
        <v>0</v>
      </c>
      <c r="C15" s="79"/>
      <c r="D15" s="63" t="str">
        <f t="shared" si="0"/>
        <v/>
      </c>
      <c r="E15" s="68" t="str">
        <f t="shared" ref="E15:E18" si="5">IF(C15="","",E14+D15)</f>
        <v/>
      </c>
      <c r="F15" s="69" t="str">
        <f t="shared" si="4"/>
        <v/>
      </c>
      <c r="G15" s="103" t="str">
        <f t="shared" si="1"/>
        <v/>
      </c>
      <c r="H15" s="79" t="str">
        <f>IF(C15="","",F15/(B15*16))</f>
        <v/>
      </c>
      <c r="I15" s="104" t="str">
        <f t="shared" si="2"/>
        <v/>
      </c>
      <c r="J15" s="85"/>
      <c r="K15" s="85"/>
      <c r="L15" s="85"/>
      <c r="M15" s="85"/>
      <c r="N15" s="85"/>
      <c r="O15" s="85"/>
      <c r="P15" s="85"/>
    </row>
    <row r="16" spans="1:16" s="66" customFormat="1" ht="13.25" customHeight="1">
      <c r="A16" s="102">
        <v>46053</v>
      </c>
      <c r="B16" s="78">
        <f ca="1">IF(TODAY()&gt;DATEVALUE("02/08/2026"),B15,"")</f>
        <v>0</v>
      </c>
      <c r="C16" s="62"/>
      <c r="D16" s="63" t="str">
        <f t="shared" si="0"/>
        <v/>
      </c>
      <c r="E16" s="68" t="str">
        <f>IF(C16="","",E15+D16)</f>
        <v/>
      </c>
      <c r="F16" s="69" t="str">
        <f>IF(C16="","",F15-D16)</f>
        <v/>
      </c>
      <c r="G16" s="103" t="str">
        <f t="shared" si="1"/>
        <v/>
      </c>
      <c r="H16" s="79" t="str">
        <f>IF(C16="","",F16/(B16*14))</f>
        <v/>
      </c>
      <c r="I16" s="104" t="str">
        <f t="shared" si="2"/>
        <v/>
      </c>
      <c r="J16" s="85"/>
      <c r="K16" s="85"/>
      <c r="L16" s="85"/>
      <c r="M16" s="85"/>
      <c r="N16" s="85"/>
      <c r="O16" s="85"/>
      <c r="P16" s="85"/>
    </row>
    <row r="17" spans="1:16" s="66" customFormat="1" ht="13.25" customHeight="1">
      <c r="A17" s="102">
        <v>46067</v>
      </c>
      <c r="B17" s="80">
        <f ca="1">IF(TODAY()&gt;DATEVALUE("02/22/2026"),B16,"")</f>
        <v>0</v>
      </c>
      <c r="C17" s="62"/>
      <c r="D17" s="63" t="str">
        <f t="shared" si="0"/>
        <v/>
      </c>
      <c r="E17" s="68" t="str">
        <f t="shared" si="5"/>
        <v/>
      </c>
      <c r="F17" s="69" t="str">
        <f>IF(C17="","",F16-D17)</f>
        <v/>
      </c>
      <c r="G17" s="103" t="str">
        <f t="shared" si="1"/>
        <v/>
      </c>
      <c r="H17" s="79" t="str">
        <f>IF(C17="","",F17/(B17*12))</f>
        <v/>
      </c>
      <c r="I17" s="104" t="str">
        <f t="shared" si="2"/>
        <v/>
      </c>
      <c r="J17" s="85"/>
      <c r="K17" s="85"/>
      <c r="L17" s="90">
        <v>0</v>
      </c>
      <c r="M17" s="97" t="s">
        <v>22</v>
      </c>
      <c r="N17" s="85"/>
      <c r="O17" s="85"/>
      <c r="P17" s="85"/>
    </row>
    <row r="18" spans="1:16" s="66" customFormat="1" ht="13.25" customHeight="1">
      <c r="A18" s="102">
        <v>46081</v>
      </c>
      <c r="B18" s="78">
        <f ca="1">IF(TODAY()&gt;DATEVALUE("03/07/2026"),B17,"")</f>
        <v>0</v>
      </c>
      <c r="C18" s="62"/>
      <c r="D18" s="63" t="str">
        <f t="shared" si="0"/>
        <v/>
      </c>
      <c r="E18" s="68" t="str">
        <f t="shared" si="5"/>
        <v/>
      </c>
      <c r="F18" s="69" t="str">
        <f t="shared" ref="F18" si="6">IF(C18="","",F17-D18)</f>
        <v/>
      </c>
      <c r="G18" s="103" t="str">
        <f t="shared" si="1"/>
        <v/>
      </c>
      <c r="H18" s="79" t="str">
        <f>IF(C18="","",F18/(B18*10))</f>
        <v/>
      </c>
      <c r="I18" s="104" t="str">
        <f t="shared" si="2"/>
        <v/>
      </c>
      <c r="J18" s="85"/>
      <c r="K18" s="85"/>
      <c r="L18" s="90">
        <f>+L17-J21</f>
        <v>0</v>
      </c>
      <c r="M18" s="96" t="s">
        <v>37</v>
      </c>
      <c r="N18" s="85"/>
      <c r="O18" s="85"/>
      <c r="P18" s="85"/>
    </row>
    <row r="19" spans="1:16" s="66" customFormat="1" ht="13.25" customHeight="1">
      <c r="A19" s="102">
        <v>46095</v>
      </c>
      <c r="B19" s="78" t="str">
        <f ca="1">IF(TODAY()&gt;DATEVALUE("03/21/2026"),B18,"")</f>
        <v/>
      </c>
      <c r="C19" s="62"/>
      <c r="D19" s="63" t="str">
        <f t="shared" si="0"/>
        <v/>
      </c>
      <c r="E19" s="68" t="str">
        <f>IF(C19="","",E18+D19)</f>
        <v/>
      </c>
      <c r="F19" s="69" t="str">
        <f>IF(C19="","",F18-D19)</f>
        <v/>
      </c>
      <c r="G19" s="103" t="str">
        <f t="shared" si="1"/>
        <v/>
      </c>
      <c r="H19" s="79" t="str">
        <f>IF(C19="","",F19/(B19*8))</f>
        <v/>
      </c>
      <c r="I19" s="104" t="str">
        <f t="shared" si="2"/>
        <v/>
      </c>
      <c r="J19" s="85"/>
      <c r="K19" s="85"/>
      <c r="L19" s="85" t="s">
        <v>38</v>
      </c>
      <c r="M19" s="85"/>
      <c r="N19" s="85"/>
      <c r="O19" s="85"/>
      <c r="P19" s="85"/>
    </row>
    <row r="20" spans="1:16" s="66" customFormat="1" ht="13.25" customHeight="1">
      <c r="A20" s="102">
        <v>46109</v>
      </c>
      <c r="B20" s="81" t="str">
        <f ca="1">IF(TODAY()&gt;DATEVALUE("04/04/2026"),B19,"")</f>
        <v/>
      </c>
      <c r="C20" s="62"/>
      <c r="D20" s="63" t="str">
        <f t="shared" si="0"/>
        <v/>
      </c>
      <c r="E20" s="68" t="str">
        <f t="shared" ref="E20:E23" si="7">IF(C20="","",E19+D20)</f>
        <v/>
      </c>
      <c r="F20" s="69" t="str">
        <f t="shared" ref="F20:F23" si="8">IF(C20="","",F19-D20)</f>
        <v/>
      </c>
      <c r="G20" s="103" t="str">
        <f t="shared" si="1"/>
        <v/>
      </c>
      <c r="H20" s="79" t="str">
        <f>IF(C20="","",F20/(B20*6))</f>
        <v/>
      </c>
      <c r="I20" s="104" t="str">
        <f t="shared" si="2"/>
        <v/>
      </c>
      <c r="J20" s="85"/>
      <c r="K20" s="85"/>
      <c r="L20" s="85" t="s">
        <v>39</v>
      </c>
      <c r="M20" s="85"/>
      <c r="N20" s="85"/>
      <c r="O20" s="85"/>
      <c r="P20" s="85"/>
    </row>
    <row r="21" spans="1:16" s="66" customFormat="1" ht="13.25" customHeight="1">
      <c r="A21" s="102">
        <v>46123</v>
      </c>
      <c r="B21" s="81" t="str">
        <f ca="1">IF(TODAY()&gt;DATEVALUE("04/18/2026"),B20,"")</f>
        <v/>
      </c>
      <c r="C21" s="62"/>
      <c r="D21" s="63" t="str">
        <f t="shared" si="0"/>
        <v/>
      </c>
      <c r="E21" s="68" t="str">
        <f t="shared" si="7"/>
        <v/>
      </c>
      <c r="F21" s="69" t="str">
        <f>IF(C21="","",F20-D21)</f>
        <v/>
      </c>
      <c r="G21" s="103" t="str">
        <f t="shared" si="1"/>
        <v/>
      </c>
      <c r="H21" s="79" t="str">
        <f>IF(C21="","",F21/(B21*4))</f>
        <v/>
      </c>
      <c r="I21" s="104" t="str">
        <f t="shared" si="2"/>
        <v/>
      </c>
      <c r="J21" s="85"/>
      <c r="K21" s="85"/>
      <c r="L21" s="85" t="s">
        <v>40</v>
      </c>
      <c r="M21" s="85"/>
      <c r="N21" s="85"/>
      <c r="O21" s="85"/>
      <c r="P21" s="85"/>
    </row>
    <row r="22" spans="1:16" s="66" customFormat="1" ht="13.25" customHeight="1">
      <c r="A22" s="102">
        <v>46137</v>
      </c>
      <c r="B22" s="80" t="str">
        <f ca="1">IF(TODAY()&gt;DATEVALUE("05/02/2026"),B21,"")</f>
        <v/>
      </c>
      <c r="C22" s="62"/>
      <c r="D22" s="63" t="str">
        <f t="shared" si="0"/>
        <v/>
      </c>
      <c r="E22" s="68" t="str">
        <f t="shared" si="7"/>
        <v/>
      </c>
      <c r="F22" s="69" t="str">
        <f t="shared" si="8"/>
        <v/>
      </c>
      <c r="G22" s="103" t="str">
        <f t="shared" si="1"/>
        <v/>
      </c>
      <c r="H22" s="79" t="str">
        <f>IF(C22="","",F22/(B22*2))</f>
        <v/>
      </c>
      <c r="I22" s="104" t="str">
        <f t="shared" si="2"/>
        <v/>
      </c>
      <c r="J22" s="85"/>
      <c r="K22" s="85"/>
      <c r="L22" s="85"/>
      <c r="M22" s="85"/>
      <c r="N22" s="85"/>
      <c r="O22" s="85"/>
      <c r="P22" s="85"/>
    </row>
    <row r="23" spans="1:16" s="85" customFormat="1" ht="14" thickBot="1">
      <c r="A23" s="105">
        <v>46151</v>
      </c>
      <c r="B23" s="82" t="str">
        <f ca="1">IF(TODAY()&gt;DATEVALUE("05/16/2026"),B22,"")</f>
        <v/>
      </c>
      <c r="C23" s="83"/>
      <c r="D23" s="72" t="str">
        <f t="shared" si="0"/>
        <v/>
      </c>
      <c r="E23" s="84" t="str">
        <f t="shared" si="7"/>
        <v/>
      </c>
      <c r="F23" s="73" t="str">
        <f t="shared" si="8"/>
        <v/>
      </c>
      <c r="G23" s="109" t="str">
        <f t="shared" si="1"/>
        <v/>
      </c>
      <c r="H23" s="109" t="str">
        <f>IF(C23="","",F23/(B23*0))</f>
        <v/>
      </c>
      <c r="I23" s="108" t="str">
        <f t="shared" si="2"/>
        <v/>
      </c>
    </row>
    <row r="24" spans="1:16" s="85" customFormat="1" ht="14" thickTop="1">
      <c r="A24" s="30" t="s">
        <v>16</v>
      </c>
    </row>
    <row r="25" spans="1:16" s="85" customFormat="1">
      <c r="A25" s="85" t="s">
        <v>35</v>
      </c>
    </row>
    <row r="26" spans="1:16" s="85" customFormat="1">
      <c r="A26" s="85" t="s">
        <v>47</v>
      </c>
    </row>
    <row r="27" spans="1:16" s="85" customFormat="1">
      <c r="A27" s="85" t="s">
        <v>48</v>
      </c>
    </row>
    <row r="28" spans="1:16" s="85" customFormat="1"/>
    <row r="29" spans="1:16" s="85" customFormat="1">
      <c r="A29" s="85" t="s">
        <v>49</v>
      </c>
    </row>
    <row r="30" spans="1:16" s="85" customFormat="1">
      <c r="A30" s="85" t="s">
        <v>31</v>
      </c>
    </row>
    <row r="31" spans="1:16" s="85" customFormat="1" ht="12" customHeight="1">
      <c r="A31" s="30" t="s">
        <v>34</v>
      </c>
    </row>
    <row r="32" spans="1:16" s="85" customFormat="1" ht="12" customHeight="1">
      <c r="A32" s="30" t="s">
        <v>32</v>
      </c>
    </row>
    <row r="33" spans="1:1" s="85" customFormat="1">
      <c r="A33" s="30" t="s">
        <v>28</v>
      </c>
    </row>
    <row r="34" spans="1:1" s="85" customFormat="1"/>
    <row r="35" spans="1:1" s="85" customFormat="1">
      <c r="A35" s="85" t="s">
        <v>42</v>
      </c>
    </row>
    <row r="36" spans="1:1" s="85" customFormat="1">
      <c r="A36" s="29" t="s">
        <v>33</v>
      </c>
    </row>
    <row r="37" spans="1:1" s="85" customFormat="1">
      <c r="A37" s="85" t="s">
        <v>43</v>
      </c>
    </row>
    <row r="38" spans="1:1" s="85" customFormat="1"/>
    <row r="39" spans="1:1" s="85" customFormat="1"/>
  </sheetData>
  <phoneticPr fontId="3" type="noConversion"/>
  <pageMargins left="0.75" right="0.75" top="1" bottom="1" header="0.5" footer="0.5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O38" sqref="O38"/>
    </sheetView>
  </sheetViews>
  <sheetFormatPr baseColWidth="10" defaultColWidth="8.83203125" defaultRowHeight="13"/>
  <cols>
    <col min="1" max="1" width="13.83203125" bestFit="1" customWidth="1"/>
    <col min="4" max="4" width="9.83203125" bestFit="1" customWidth="1"/>
    <col min="5" max="5" width="9.6640625" bestFit="1" customWidth="1"/>
    <col min="6" max="6" width="12.1640625" bestFit="1" customWidth="1"/>
    <col min="9" max="9" width="9.6640625" bestFit="1" customWidth="1"/>
    <col min="10" max="10" width="11.5" bestFit="1" customWidth="1"/>
  </cols>
  <sheetData>
    <row r="1" spans="1:12" s="22" customFormat="1" ht="13.25" customHeight="1" thickTop="1">
      <c r="A1" s="86" t="s">
        <v>17</v>
      </c>
      <c r="B1" s="31" t="s">
        <v>18</v>
      </c>
      <c r="C1" s="32"/>
      <c r="D1" s="33" t="s">
        <v>45</v>
      </c>
      <c r="E1" s="34"/>
      <c r="F1" s="35" t="s">
        <v>44</v>
      </c>
      <c r="G1" s="36"/>
      <c r="H1" s="37" t="s">
        <v>0</v>
      </c>
      <c r="I1" s="38" t="s">
        <v>46</v>
      </c>
      <c r="L1" s="23"/>
    </row>
    <row r="2" spans="1:12" s="22" customFormat="1" ht="13.25" customHeight="1" thickBot="1">
      <c r="A2" s="87" t="s">
        <v>19</v>
      </c>
      <c r="B2" s="39" t="s">
        <v>20</v>
      </c>
      <c r="C2" s="40"/>
      <c r="D2" s="41">
        <f>1250+152+53.8</f>
        <v>1455.8</v>
      </c>
      <c r="E2" s="42"/>
      <c r="F2" s="41">
        <f>1250+152+1500</f>
        <v>2902</v>
      </c>
      <c r="G2" s="44"/>
      <c r="H2" s="45" t="s">
        <v>1</v>
      </c>
      <c r="I2" s="46">
        <f>+D2+F2</f>
        <v>4357.8</v>
      </c>
      <c r="L2" s="23"/>
    </row>
    <row r="3" spans="1:12" s="22" customFormat="1" ht="13.25" customHeight="1">
      <c r="A3" s="48" t="s">
        <v>2</v>
      </c>
      <c r="B3" s="48" t="s">
        <v>3</v>
      </c>
      <c r="C3" s="49" t="s">
        <v>1</v>
      </c>
      <c r="D3" s="48" t="s">
        <v>4</v>
      </c>
      <c r="E3" s="48" t="s">
        <v>5</v>
      </c>
      <c r="F3" s="50" t="s">
        <v>0</v>
      </c>
      <c r="G3" s="51"/>
      <c r="H3" s="52" t="s">
        <v>6</v>
      </c>
      <c r="I3" s="53" t="s">
        <v>6</v>
      </c>
      <c r="L3" s="23"/>
    </row>
    <row r="4" spans="1:12" s="22" customFormat="1" ht="13.25" customHeight="1" thickBot="1">
      <c r="A4" s="55" t="s">
        <v>7</v>
      </c>
      <c r="B4" s="55" t="s">
        <v>8</v>
      </c>
      <c r="C4" s="56" t="s">
        <v>9</v>
      </c>
      <c r="D4" s="55" t="s">
        <v>3</v>
      </c>
      <c r="E4" s="55" t="s">
        <v>10</v>
      </c>
      <c r="F4" s="57" t="s">
        <v>11</v>
      </c>
      <c r="G4" s="58" t="s">
        <v>12</v>
      </c>
      <c r="H4" s="59" t="s">
        <v>13</v>
      </c>
      <c r="I4" s="60" t="s">
        <v>2</v>
      </c>
      <c r="L4" s="23"/>
    </row>
    <row r="5" spans="1:12" s="85" customFormat="1">
      <c r="A5" s="2">
        <v>41517</v>
      </c>
      <c r="B5" s="3">
        <v>10.039999999999999</v>
      </c>
      <c r="C5" s="4">
        <v>2.5</v>
      </c>
      <c r="D5" s="63">
        <f t="shared" ref="D5:D23" si="0">IF(C5="","",B5*C5)</f>
        <v>25.099999999999998</v>
      </c>
      <c r="E5" s="64">
        <f>IF(C5="","",D5)</f>
        <v>25.099999999999998</v>
      </c>
      <c r="F5" s="65">
        <f>IF(C5="","",D2-E5)</f>
        <v>1430.7</v>
      </c>
      <c r="G5" s="6">
        <f t="shared" ref="G5:G23" si="1">IF(C5="","",F5/B5)</f>
        <v>142.50000000000003</v>
      </c>
      <c r="H5" s="6">
        <f>IF(C5="","",F5/(B5*16))</f>
        <v>8.9062500000000018</v>
      </c>
      <c r="I5" s="7">
        <f>IF(C5="","",H5*2)</f>
        <v>17.812500000000004</v>
      </c>
      <c r="J5" s="85" t="s">
        <v>21</v>
      </c>
      <c r="L5" s="88"/>
    </row>
    <row r="6" spans="1:12" s="85" customFormat="1">
      <c r="A6" s="8">
        <v>41531</v>
      </c>
      <c r="B6" s="9">
        <f ca="1">IF(TODAY()&gt;DATEVALUE("9/16/2013"),B5,"")</f>
        <v>10.039999999999999</v>
      </c>
      <c r="C6" s="4">
        <v>12</v>
      </c>
      <c r="D6" s="63">
        <f t="shared" ca="1" si="0"/>
        <v>120.47999999999999</v>
      </c>
      <c r="E6" s="68">
        <f ca="1">IF(C6="","",E5+D6)</f>
        <v>145.57999999999998</v>
      </c>
      <c r="F6" s="69">
        <f ca="1">IF(C6="","",D2-E6)</f>
        <v>1310.22</v>
      </c>
      <c r="G6" s="10">
        <f t="shared" ca="1" si="1"/>
        <v>130.5</v>
      </c>
      <c r="H6" s="20">
        <f ca="1">IF(C6="","",F6/(B6*14))</f>
        <v>9.3214285714285712</v>
      </c>
      <c r="I6" s="11">
        <f t="shared" ref="I6:I23" ca="1" si="2">IF(C6="","",H6*2)</f>
        <v>18.642857142857142</v>
      </c>
      <c r="L6" s="88"/>
    </row>
    <row r="7" spans="1:12" s="85" customFormat="1">
      <c r="A7" s="8">
        <v>41545</v>
      </c>
      <c r="B7" s="9">
        <f ca="1">IF(TODAY()&gt;DATEVALUE("9/29/2013"),B6,"")</f>
        <v>10.039999999999999</v>
      </c>
      <c r="C7" s="4">
        <v>19.25</v>
      </c>
      <c r="D7" s="63">
        <f t="shared" ca="1" si="0"/>
        <v>193.26999999999998</v>
      </c>
      <c r="E7" s="68">
        <f t="shared" ref="E7:E13" ca="1" si="3">IF(C7="","",E6+D7)</f>
        <v>338.84999999999997</v>
      </c>
      <c r="F7" s="69">
        <f ca="1">IF(C7="","",D2-E7)</f>
        <v>1116.95</v>
      </c>
      <c r="G7" s="10">
        <f t="shared" ca="1" si="1"/>
        <v>111.25000000000001</v>
      </c>
      <c r="H7" s="20">
        <f ca="1">IF(C7="","",F7/(B7*12))</f>
        <v>9.2708333333333339</v>
      </c>
      <c r="I7" s="11">
        <f t="shared" ca="1" si="2"/>
        <v>18.541666666666668</v>
      </c>
      <c r="L7" s="88"/>
    </row>
    <row r="8" spans="1:12" s="85" customFormat="1">
      <c r="A8" s="8">
        <v>41559</v>
      </c>
      <c r="B8" s="9">
        <f ca="1">IF(TODAY()&gt;DATEVALUE("10/14/2013"),B7,"")</f>
        <v>10.039999999999999</v>
      </c>
      <c r="C8" s="4">
        <v>20.75</v>
      </c>
      <c r="D8" s="63">
        <f t="shared" ca="1" si="0"/>
        <v>208.32999999999998</v>
      </c>
      <c r="E8" s="68">
        <f ca="1">IF(C8="","",E7+D8)</f>
        <v>547.17999999999995</v>
      </c>
      <c r="F8" s="69">
        <f ca="1">IF(C8="","",D2-E8)</f>
        <v>908.62</v>
      </c>
      <c r="G8" s="10">
        <f t="shared" ca="1" si="1"/>
        <v>90.500000000000014</v>
      </c>
      <c r="H8" s="20">
        <f ca="1">IF(C8="","",F8/(B8*10))</f>
        <v>9.0500000000000007</v>
      </c>
      <c r="I8" s="11">
        <f t="shared" ca="1" si="2"/>
        <v>18.100000000000001</v>
      </c>
      <c r="K8" s="24">
        <v>0</v>
      </c>
      <c r="L8" s="25" t="s">
        <v>22</v>
      </c>
    </row>
    <row r="9" spans="1:12" s="85" customFormat="1">
      <c r="A9" s="8">
        <v>41573</v>
      </c>
      <c r="B9" s="9">
        <f ca="1">IF(TODAY()&gt;DATEVALUE("10/28/2013"),B8,"")</f>
        <v>10.039999999999999</v>
      </c>
      <c r="C9" s="4">
        <v>15.75</v>
      </c>
      <c r="D9" s="63">
        <f ca="1">IF(C9="","",B9*C9)</f>
        <v>158.13</v>
      </c>
      <c r="E9" s="68">
        <f t="shared" ca="1" si="3"/>
        <v>705.31</v>
      </c>
      <c r="F9" s="69">
        <f ca="1">IF(C9="","",D2-E9)</f>
        <v>750.49</v>
      </c>
      <c r="G9" s="10">
        <f ca="1">IF(C9="","",F9/B9)</f>
        <v>74.750000000000014</v>
      </c>
      <c r="H9" s="20">
        <f ca="1">IF(C9="","",F9/(B9*8))</f>
        <v>9.3437500000000018</v>
      </c>
      <c r="I9" s="11">
        <f ca="1">IF(C9="","",H9*2)</f>
        <v>18.687500000000004</v>
      </c>
      <c r="K9" s="24">
        <f>SUM(-K8-F24)</f>
        <v>0</v>
      </c>
      <c r="L9" s="26" t="s">
        <v>23</v>
      </c>
    </row>
    <row r="10" spans="1:12" s="85" customFormat="1">
      <c r="A10" s="8">
        <v>41587</v>
      </c>
      <c r="B10" s="9">
        <f ca="1">IF(TODAY()&gt;DATEVALUE("11/11/2013"),B9,"")</f>
        <v>10.039999999999999</v>
      </c>
      <c r="C10" s="4">
        <v>13</v>
      </c>
      <c r="D10" s="63">
        <f t="shared" ca="1" si="0"/>
        <v>130.51999999999998</v>
      </c>
      <c r="E10" s="68">
        <f t="shared" ca="1" si="3"/>
        <v>835.82999999999993</v>
      </c>
      <c r="F10" s="69">
        <f ca="1">IF(C10="","",D2-E10)</f>
        <v>619.97</v>
      </c>
      <c r="G10" s="10">
        <f t="shared" ca="1" si="1"/>
        <v>61.750000000000007</v>
      </c>
      <c r="H10" s="20">
        <f ca="1">IF(C10="","",F10/(B10*6))</f>
        <v>10.291666666666668</v>
      </c>
      <c r="I10" s="11">
        <f t="shared" ca="1" si="2"/>
        <v>20.583333333333336</v>
      </c>
      <c r="L10" s="88"/>
    </row>
    <row r="11" spans="1:12" s="85" customFormat="1">
      <c r="A11" s="8">
        <v>41601</v>
      </c>
      <c r="B11" s="9">
        <f ca="1">IF(TODAY()&gt;DATEVALUE("11/25/2013"),B10,"")</f>
        <v>10.039999999999999</v>
      </c>
      <c r="C11" s="4">
        <v>19.25</v>
      </c>
      <c r="D11" s="63">
        <f t="shared" ca="1" si="0"/>
        <v>193.26999999999998</v>
      </c>
      <c r="E11" s="68">
        <f ca="1">IF(C11="","",E10+D11)</f>
        <v>1029.0999999999999</v>
      </c>
      <c r="F11" s="69">
        <f ca="1">IF(C11="","",D2-E11)</f>
        <v>426.70000000000005</v>
      </c>
      <c r="G11" s="10">
        <f t="shared" ca="1" si="1"/>
        <v>42.500000000000007</v>
      </c>
      <c r="H11" s="20">
        <f ca="1">IF(C11="","",F11/(B11*4))</f>
        <v>10.625000000000002</v>
      </c>
      <c r="I11" s="11">
        <f t="shared" ca="1" si="2"/>
        <v>21.250000000000004</v>
      </c>
      <c r="L11" s="88"/>
    </row>
    <row r="12" spans="1:12" s="85" customFormat="1">
      <c r="A12" s="8">
        <v>41615</v>
      </c>
      <c r="B12" s="9">
        <f ca="1">IF(TODAY()&gt;DATEVALUE("11/25/2013"),B11,"")</f>
        <v>10.039999999999999</v>
      </c>
      <c r="C12" s="4">
        <v>24.5</v>
      </c>
      <c r="D12" s="63">
        <f t="shared" ca="1" si="0"/>
        <v>245.98</v>
      </c>
      <c r="E12" s="68">
        <f t="shared" ca="1" si="3"/>
        <v>1275.08</v>
      </c>
      <c r="F12" s="69">
        <f ca="1">IF(C12="","",D2-E12)</f>
        <v>180.72000000000003</v>
      </c>
      <c r="G12" s="10">
        <f ca="1">IF(C12="","",F12/B12)</f>
        <v>18.000000000000004</v>
      </c>
      <c r="H12" s="20">
        <f ca="1">IF(C12="","",F12/(B12*2))</f>
        <v>9.0000000000000018</v>
      </c>
      <c r="I12" s="11">
        <f ca="1">IF(C12="","",H12*2)</f>
        <v>18.000000000000004</v>
      </c>
      <c r="L12" s="88"/>
    </row>
    <row r="13" spans="1:12" s="85" customFormat="1" ht="14" thickBot="1">
      <c r="A13" s="12">
        <v>41629</v>
      </c>
      <c r="B13" s="5">
        <f ca="1">IF(TODAY()&gt;DATEVALUE("12/08/2013"),B12,"")</f>
        <v>10.039999999999999</v>
      </c>
      <c r="C13" s="4">
        <v>18</v>
      </c>
      <c r="D13" s="72">
        <f t="shared" ca="1" si="0"/>
        <v>180.71999999999997</v>
      </c>
      <c r="E13" s="64">
        <f t="shared" ca="1" si="3"/>
        <v>1455.8</v>
      </c>
      <c r="F13" s="73">
        <f ca="1">IF(C13="","",D2-E13+F2)</f>
        <v>2902</v>
      </c>
      <c r="G13" s="13">
        <f t="shared" ca="1" si="1"/>
        <v>289.04382470119526</v>
      </c>
      <c r="H13" s="21" t="e">
        <f ca="1">IF(C13="","",F13/(B13*0))</f>
        <v>#DIV/0!</v>
      </c>
      <c r="I13" s="14" t="e">
        <f t="shared" ca="1" si="2"/>
        <v>#DIV/0!</v>
      </c>
      <c r="L13" s="88"/>
    </row>
    <row r="14" spans="1:12" s="85" customFormat="1" ht="14" thickTop="1">
      <c r="A14" s="2">
        <v>41643</v>
      </c>
      <c r="B14" s="15">
        <f ca="1">IF(TODAY()&gt;DATEVALUE("01/06/2013"),B13,"")</f>
        <v>10.039999999999999</v>
      </c>
      <c r="C14" s="16">
        <v>0</v>
      </c>
      <c r="D14" s="64">
        <f t="shared" ca="1" si="0"/>
        <v>0</v>
      </c>
      <c r="E14" s="76">
        <f ca="1">IF(C14="","",D14)</f>
        <v>0</v>
      </c>
      <c r="F14" s="77">
        <f t="shared" ref="F14:F23" ca="1" si="4">IF(C14="","",F13-D14)</f>
        <v>2902</v>
      </c>
      <c r="G14" s="6">
        <f t="shared" ca="1" si="1"/>
        <v>289.04382470119526</v>
      </c>
      <c r="H14" s="6">
        <f ca="1">IF(C14="","",F14/(B14*18))</f>
        <v>16.057990261177515</v>
      </c>
      <c r="I14" s="7">
        <f ca="1">IF(C14="","",H14*2)</f>
        <v>32.115980522355031</v>
      </c>
      <c r="J14" s="89">
        <f ca="1">D2-E14</f>
        <v>1455.8</v>
      </c>
      <c r="K14" s="85" t="s">
        <v>14</v>
      </c>
      <c r="L14" s="88"/>
    </row>
    <row r="15" spans="1:12" s="85" customFormat="1">
      <c r="A15" s="8">
        <v>41657</v>
      </c>
      <c r="B15" s="9">
        <f ca="1">IF(TODAY()&gt;DATEVALUE("1/20/2013"),B14,"")</f>
        <v>10.039999999999999</v>
      </c>
      <c r="C15" s="4">
        <v>0</v>
      </c>
      <c r="D15" s="63">
        <f t="shared" ca="1" si="0"/>
        <v>0</v>
      </c>
      <c r="E15" s="68">
        <f ca="1">IF(C15="","",E14+D15)</f>
        <v>0</v>
      </c>
      <c r="F15" s="69">
        <f t="shared" ca="1" si="4"/>
        <v>2902</v>
      </c>
      <c r="G15" s="10">
        <f t="shared" ca="1" si="1"/>
        <v>289.04382470119526</v>
      </c>
      <c r="H15" s="20">
        <f ca="1">IF(C15="","",F15/(B15*16))</f>
        <v>18.065239043824704</v>
      </c>
      <c r="I15" s="11">
        <f t="shared" ca="1" si="2"/>
        <v>36.130478087649408</v>
      </c>
      <c r="L15" s="88"/>
    </row>
    <row r="16" spans="1:12" s="85" customFormat="1">
      <c r="A16" s="8">
        <v>41671</v>
      </c>
      <c r="B16" s="9">
        <f ca="1">IF(TODAY()&gt;DATEVALUE("02/03/2013"),B15,"")</f>
        <v>10.039999999999999</v>
      </c>
      <c r="C16" s="4">
        <v>18</v>
      </c>
      <c r="D16" s="63">
        <f ca="1">IF(C16="","",B16*C16)</f>
        <v>180.71999999999997</v>
      </c>
      <c r="E16" s="68">
        <f t="shared" ref="E16:E23" ca="1" si="5">IF(C16="","",E15+D16)</f>
        <v>180.71999999999997</v>
      </c>
      <c r="F16" s="69">
        <f ca="1">IF(C16="","",F15-D16)</f>
        <v>2721.28</v>
      </c>
      <c r="G16" s="10">
        <f t="shared" ca="1" si="1"/>
        <v>271.04382470119526</v>
      </c>
      <c r="H16" s="20">
        <f ca="1">IF(C16="","",F16/(B16*14))</f>
        <v>19.360273192942518</v>
      </c>
      <c r="I16" s="11">
        <f t="shared" ca="1" si="2"/>
        <v>38.720546385885036</v>
      </c>
      <c r="K16" s="90">
        <v>0</v>
      </c>
      <c r="L16" s="91" t="s">
        <v>22</v>
      </c>
    </row>
    <row r="17" spans="1:12" s="85" customFormat="1">
      <c r="A17" s="8">
        <v>41685</v>
      </c>
      <c r="B17" s="9">
        <f ca="1">IF(TODAY()&gt;DATEVALUE("2/17/2013"),B16,"")</f>
        <v>10.039999999999999</v>
      </c>
      <c r="C17" s="4">
        <v>21.75</v>
      </c>
      <c r="D17" s="63">
        <f t="shared" ca="1" si="0"/>
        <v>218.36999999999998</v>
      </c>
      <c r="E17" s="68">
        <f ca="1">IF(C17="","",E16+D17)</f>
        <v>399.08999999999992</v>
      </c>
      <c r="F17" s="69">
        <f ca="1">IF(C17="","",F16-D17)</f>
        <v>2502.9100000000003</v>
      </c>
      <c r="G17" s="10">
        <f t="shared" ca="1" si="1"/>
        <v>249.29382470119526</v>
      </c>
      <c r="H17" s="20">
        <f ca="1">IF(C17="","",F17/(B17*12))</f>
        <v>20.774485391766273</v>
      </c>
      <c r="I17" s="11">
        <f t="shared" ca="1" si="2"/>
        <v>41.548970783532546</v>
      </c>
      <c r="K17" s="92">
        <f>+K16-G24</f>
        <v>0</v>
      </c>
      <c r="L17" s="93" t="s">
        <v>37</v>
      </c>
    </row>
    <row r="18" spans="1:12" s="85" customFormat="1">
      <c r="A18" s="8">
        <v>41699</v>
      </c>
      <c r="B18" s="9">
        <f ca="1">IF(TODAY()&gt;DATEVALUE("03/03/2013"),B17,"")</f>
        <v>10.039999999999999</v>
      </c>
      <c r="C18" s="4">
        <v>22.25</v>
      </c>
      <c r="D18" s="63">
        <f t="shared" ca="1" si="0"/>
        <v>223.39</v>
      </c>
      <c r="E18" s="68">
        <f ca="1">IF(C18="","",E17+D18)</f>
        <v>622.4799999999999</v>
      </c>
      <c r="F18" s="69">
        <f t="shared" ca="1" si="4"/>
        <v>2279.5200000000004</v>
      </c>
      <c r="G18" s="10">
        <f t="shared" ca="1" si="1"/>
        <v>227.04382470119529</v>
      </c>
      <c r="H18" s="20">
        <f ca="1">IF(C18="","",F18/(B18*10))</f>
        <v>22.70438247011953</v>
      </c>
      <c r="I18" s="11">
        <f t="shared" ca="1" si="2"/>
        <v>45.40876494023906</v>
      </c>
      <c r="K18" s="85" t="s">
        <v>38</v>
      </c>
    </row>
    <row r="19" spans="1:12" s="85" customFormat="1">
      <c r="A19" s="8">
        <v>41713</v>
      </c>
      <c r="B19" s="9">
        <f ca="1">IF(TODAY()&gt;DATEVALUE("3/17/2013"),B18,"")</f>
        <v>10.039999999999999</v>
      </c>
      <c r="C19" s="4">
        <v>21.25</v>
      </c>
      <c r="D19" s="63">
        <f t="shared" ca="1" si="0"/>
        <v>213.35</v>
      </c>
      <c r="E19" s="68">
        <f t="shared" ca="1" si="5"/>
        <v>835.82999999999993</v>
      </c>
      <c r="F19" s="69">
        <f t="shared" ca="1" si="4"/>
        <v>2066.1700000000005</v>
      </c>
      <c r="G19" s="10">
        <f t="shared" ca="1" si="1"/>
        <v>205.79382470119529</v>
      </c>
      <c r="H19" s="20">
        <f ca="1">IF(C19="","",F19/(B19*8))</f>
        <v>25.724228087649411</v>
      </c>
      <c r="I19" s="11">
        <f t="shared" ca="1" si="2"/>
        <v>51.448456175298823</v>
      </c>
      <c r="K19" s="85" t="s">
        <v>39</v>
      </c>
    </row>
    <row r="20" spans="1:12" s="85" customFormat="1">
      <c r="A20" s="8">
        <v>41727</v>
      </c>
      <c r="B20" s="9">
        <f ca="1">IF(TODAY()&gt;DATEVALUE("3/31/2013"),B19,"")</f>
        <v>10.039999999999999</v>
      </c>
      <c r="C20" s="4">
        <v>8</v>
      </c>
      <c r="D20" s="63">
        <f t="shared" ca="1" si="0"/>
        <v>80.319999999999993</v>
      </c>
      <c r="E20" s="68">
        <f ca="1">IF(C20="","",E19+D20)</f>
        <v>916.14999999999986</v>
      </c>
      <c r="F20" s="69">
        <f t="shared" ca="1" si="4"/>
        <v>1985.8500000000006</v>
      </c>
      <c r="G20" s="10">
        <f t="shared" ca="1" si="1"/>
        <v>197.79382470119529</v>
      </c>
      <c r="H20" s="20">
        <f ca="1">IF(C20="","",F20/(B20*6))</f>
        <v>32.965637450199218</v>
      </c>
      <c r="I20" s="11">
        <f t="shared" ca="1" si="2"/>
        <v>65.931274900398435</v>
      </c>
      <c r="K20" s="85" t="s">
        <v>40</v>
      </c>
    </row>
    <row r="21" spans="1:12" s="85" customFormat="1">
      <c r="A21" s="8">
        <v>41741</v>
      </c>
      <c r="B21" s="9">
        <f ca="1">IF(TODAY()&gt;DATEVALUE("4/14/2013"),B20,"")</f>
        <v>10.039999999999999</v>
      </c>
      <c r="C21" s="4">
        <v>16.75</v>
      </c>
      <c r="D21" s="63">
        <f t="shared" ca="1" si="0"/>
        <v>168.17</v>
      </c>
      <c r="E21" s="68">
        <f t="shared" ca="1" si="5"/>
        <v>1084.32</v>
      </c>
      <c r="F21" s="69">
        <f t="shared" ca="1" si="4"/>
        <v>1817.6800000000005</v>
      </c>
      <c r="G21" s="10">
        <f t="shared" ca="1" si="1"/>
        <v>181.04382470119529</v>
      </c>
      <c r="H21" s="20">
        <f ca="1">IF(C21="","",F21/(B21*4))</f>
        <v>45.260956175298823</v>
      </c>
      <c r="I21" s="11">
        <f t="shared" ca="1" si="2"/>
        <v>90.521912350597646</v>
      </c>
      <c r="L21" s="88"/>
    </row>
    <row r="22" spans="1:12" s="85" customFormat="1">
      <c r="A22" s="8">
        <v>41755</v>
      </c>
      <c r="B22" s="9">
        <f ca="1">IF(TODAY()&gt;DATEVALUE("4/28/2013"),B21,"")</f>
        <v>10.039999999999999</v>
      </c>
      <c r="C22" s="4">
        <v>20.25</v>
      </c>
      <c r="D22" s="63">
        <f t="shared" ca="1" si="0"/>
        <v>203.30999999999997</v>
      </c>
      <c r="E22" s="68">
        <f t="shared" ca="1" si="5"/>
        <v>1287.6299999999999</v>
      </c>
      <c r="F22" s="69">
        <f t="shared" ca="1" si="4"/>
        <v>1614.3700000000006</v>
      </c>
      <c r="G22" s="10">
        <f t="shared" ca="1" si="1"/>
        <v>160.79382470119529</v>
      </c>
      <c r="H22" s="20">
        <f ca="1">IF(C22="","",F22/(B22*2))</f>
        <v>80.396912350597646</v>
      </c>
      <c r="I22" s="11">
        <f t="shared" ca="1" si="2"/>
        <v>160.79382470119529</v>
      </c>
      <c r="L22" s="88"/>
    </row>
    <row r="23" spans="1:12" s="85" customFormat="1" ht="12.75" customHeight="1" thickBot="1">
      <c r="A23" s="12">
        <v>41769</v>
      </c>
      <c r="B23" s="17">
        <f ca="1">IF(TODAY()&gt;DATEVALUE("5/12/2013"),B22,"")</f>
        <v>10.039999999999999</v>
      </c>
      <c r="C23" s="18"/>
      <c r="D23" s="72" t="str">
        <f t="shared" si="0"/>
        <v/>
      </c>
      <c r="E23" s="84" t="str">
        <f t="shared" si="5"/>
        <v/>
      </c>
      <c r="F23" s="73" t="str">
        <f t="shared" si="4"/>
        <v/>
      </c>
      <c r="G23" s="19" t="str">
        <f t="shared" si="1"/>
        <v/>
      </c>
      <c r="H23" s="19" t="str">
        <f>IF(C23="","",F23/(B23*0))</f>
        <v/>
      </c>
      <c r="I23" s="14" t="str">
        <f t="shared" si="2"/>
        <v/>
      </c>
      <c r="L23" s="88"/>
    </row>
    <row r="24" spans="1:12" s="85" customFormat="1" ht="11.25" customHeight="1" thickTop="1" thickBot="1"/>
    <row r="25" spans="1:12" s="85" customFormat="1" ht="13.25" customHeight="1" thickTop="1">
      <c r="A25" s="86" t="s">
        <v>24</v>
      </c>
      <c r="B25" s="31" t="s">
        <v>18</v>
      </c>
      <c r="C25" s="32"/>
      <c r="D25" s="33" t="s">
        <v>45</v>
      </c>
      <c r="E25" s="34"/>
      <c r="F25" s="35" t="s">
        <v>44</v>
      </c>
      <c r="G25" s="36"/>
      <c r="H25" s="37" t="s">
        <v>0</v>
      </c>
      <c r="I25" s="38" t="s">
        <v>46</v>
      </c>
      <c r="L25" s="88"/>
    </row>
    <row r="26" spans="1:12" s="85" customFormat="1" ht="13.25" customHeight="1" thickBot="1">
      <c r="A26" s="87" t="s">
        <v>19</v>
      </c>
      <c r="B26" s="39" t="s">
        <v>36</v>
      </c>
      <c r="C26" s="40"/>
      <c r="D26" s="41">
        <v>2000</v>
      </c>
      <c r="E26" s="42"/>
      <c r="F26" s="41">
        <v>2000</v>
      </c>
      <c r="G26" s="44"/>
      <c r="H26" s="45" t="s">
        <v>1</v>
      </c>
      <c r="I26" s="46">
        <f>+D26+F26</f>
        <v>4000</v>
      </c>
      <c r="L26" s="88"/>
    </row>
    <row r="27" spans="1:12" s="85" customFormat="1" ht="13.25" customHeight="1">
      <c r="A27" s="48" t="s">
        <v>2</v>
      </c>
      <c r="B27" s="48" t="s">
        <v>3</v>
      </c>
      <c r="C27" s="49" t="s">
        <v>1</v>
      </c>
      <c r="D27" s="48" t="s">
        <v>4</v>
      </c>
      <c r="E27" s="48" t="s">
        <v>5</v>
      </c>
      <c r="F27" s="50" t="s">
        <v>0</v>
      </c>
      <c r="G27" s="51"/>
      <c r="H27" s="52" t="s">
        <v>6</v>
      </c>
      <c r="I27" s="53" t="s">
        <v>6</v>
      </c>
      <c r="L27" s="88"/>
    </row>
    <row r="28" spans="1:12" s="85" customFormat="1" ht="13.25" customHeight="1" thickBot="1">
      <c r="A28" s="55" t="s">
        <v>7</v>
      </c>
      <c r="B28" s="55" t="s">
        <v>8</v>
      </c>
      <c r="C28" s="56" t="s">
        <v>9</v>
      </c>
      <c r="D28" s="55" t="s">
        <v>3</v>
      </c>
      <c r="E28" s="55" t="s">
        <v>10</v>
      </c>
      <c r="F28" s="57" t="s">
        <v>11</v>
      </c>
      <c r="G28" s="58" t="s">
        <v>12</v>
      </c>
      <c r="H28" s="59" t="s">
        <v>13</v>
      </c>
      <c r="I28" s="60" t="s">
        <v>2</v>
      </c>
      <c r="L28" s="88"/>
    </row>
    <row r="29" spans="1:12" s="85" customFormat="1">
      <c r="A29" s="2">
        <v>41517</v>
      </c>
      <c r="B29" s="3">
        <v>10.95</v>
      </c>
      <c r="C29" s="4">
        <v>27.25</v>
      </c>
      <c r="D29" s="63">
        <f>IF(C29="","",B29*C29)</f>
        <v>298.38749999999999</v>
      </c>
      <c r="E29" s="64">
        <f>IF(C29="","",D29)</f>
        <v>298.38749999999999</v>
      </c>
      <c r="F29" s="65">
        <f>IF(C29="","",D26-E29)</f>
        <v>1701.6125</v>
      </c>
      <c r="G29" s="6">
        <f t="shared" ref="G29:G47" si="6">IF(C29="","",F29/B29)</f>
        <v>155.39840182648402</v>
      </c>
      <c r="H29" s="6">
        <f>IF(C29="","",F29/(B29*16))</f>
        <v>9.7124001141552512</v>
      </c>
      <c r="I29" s="7">
        <f>IF(C29="","",H29*2)</f>
        <v>19.424800228310502</v>
      </c>
      <c r="J29" s="85" t="s">
        <v>25</v>
      </c>
      <c r="L29" s="85" t="s">
        <v>27</v>
      </c>
    </row>
    <row r="30" spans="1:12" s="85" customFormat="1">
      <c r="A30" s="8">
        <v>41531</v>
      </c>
      <c r="B30" s="9">
        <f ca="1">IF(TODAY()&gt;DATEVALUE("9/16/2013"),B29,"")</f>
        <v>10.95</v>
      </c>
      <c r="C30" s="4">
        <v>12.5</v>
      </c>
      <c r="D30" s="63">
        <f ca="1">IF(C30="","",B30*C30)+156.71</f>
        <v>293.58500000000004</v>
      </c>
      <c r="E30" s="68">
        <f ca="1">IF(C30="","",E29+D30)</f>
        <v>591.97250000000008</v>
      </c>
      <c r="F30" s="69">
        <f ca="1">IF(C30="","",D26-E30)</f>
        <v>1408.0274999999999</v>
      </c>
      <c r="G30" s="10">
        <f t="shared" ca="1" si="6"/>
        <v>128.58698630136988</v>
      </c>
      <c r="H30" s="20">
        <f ca="1">IF(C30="","",F30/(B30*14))</f>
        <v>9.1847847358121335</v>
      </c>
      <c r="I30" s="11">
        <f t="shared" ref="I30:I47" ca="1" si="7">IF(C30="","",H30*2)</f>
        <v>18.369569471624267</v>
      </c>
      <c r="L30" s="88"/>
    </row>
    <row r="31" spans="1:12" s="85" customFormat="1">
      <c r="A31" s="8">
        <v>41545</v>
      </c>
      <c r="B31" s="9">
        <v>12.6</v>
      </c>
      <c r="C31" s="4">
        <v>11</v>
      </c>
      <c r="D31" s="63">
        <f>IF(C31="","",B31*C31)+139.66</f>
        <v>278.26</v>
      </c>
      <c r="E31" s="68">
        <f t="shared" ref="E31:E37" ca="1" si="8">IF(C31="","",E30+D31)</f>
        <v>870.23250000000007</v>
      </c>
      <c r="F31" s="69">
        <f ca="1">IF(C31="","",D26-E31)</f>
        <v>1129.7674999999999</v>
      </c>
      <c r="G31" s="10">
        <f t="shared" ca="1" si="6"/>
        <v>89.664087301587301</v>
      </c>
      <c r="H31" s="20">
        <f ca="1">IF(C31="","",F31/(B31*12))</f>
        <v>7.4720072751322748</v>
      </c>
      <c r="I31" s="11">
        <f t="shared" ca="1" si="7"/>
        <v>14.94401455026455</v>
      </c>
      <c r="J31" s="85" t="s">
        <v>26</v>
      </c>
      <c r="L31" s="88"/>
    </row>
    <row r="32" spans="1:12" s="85" customFormat="1">
      <c r="A32" s="8">
        <v>41559</v>
      </c>
      <c r="B32" s="9">
        <f ca="1">IF(TODAY()&gt;DATEVALUE("10/14/2013"),B31,"")</f>
        <v>12.6</v>
      </c>
      <c r="C32" s="4">
        <v>12.75</v>
      </c>
      <c r="D32" s="63">
        <f ca="1">IF(C32="","",B32*C32)+83.98</f>
        <v>244.63</v>
      </c>
      <c r="E32" s="68">
        <f ca="1">IF(C32="","",E31+D32)</f>
        <v>1114.8625000000002</v>
      </c>
      <c r="F32" s="69">
        <f ca="1">IF(C32="","",D26-E32)</f>
        <v>885.13749999999982</v>
      </c>
      <c r="G32" s="10">
        <f t="shared" ca="1" si="6"/>
        <v>70.249007936507923</v>
      </c>
      <c r="H32" s="20">
        <f ca="1">IF(C32="","",F32/(B32*10))</f>
        <v>7.0249007936507919</v>
      </c>
      <c r="I32" s="11">
        <f t="shared" ca="1" si="7"/>
        <v>14.049801587301584</v>
      </c>
      <c r="K32" s="90">
        <v>2000</v>
      </c>
      <c r="L32" s="97" t="s">
        <v>22</v>
      </c>
    </row>
    <row r="33" spans="1:12" s="85" customFormat="1">
      <c r="A33" s="8">
        <v>41573</v>
      </c>
      <c r="B33" s="9">
        <f ca="1">IF(TODAY()&gt;DATEVALUE("10/28/2013"),B32,"")</f>
        <v>12.6</v>
      </c>
      <c r="C33" s="4">
        <v>14</v>
      </c>
      <c r="D33" s="63">
        <f ca="1">IF(C33="","",B33*C33)+85.72</f>
        <v>262.12</v>
      </c>
      <c r="E33" s="68">
        <f t="shared" ca="1" si="8"/>
        <v>1376.9825000000001</v>
      </c>
      <c r="F33" s="69">
        <f ca="1">IF(C33="","",D26-E33)</f>
        <v>623.01749999999993</v>
      </c>
      <c r="G33" s="10">
        <f ca="1">IF(C33="","",F33/B33)</f>
        <v>49.445833333333326</v>
      </c>
      <c r="H33" s="20">
        <f ca="1">IF(C33="","",F33/(B33*8))</f>
        <v>6.1807291666666657</v>
      </c>
      <c r="I33" s="11">
        <f ca="1">IF(C33="","",H33*2)</f>
        <v>12.361458333333331</v>
      </c>
      <c r="K33" s="92">
        <f ca="1">+(K32+F36)-D37</f>
        <v>1332.0875000000001</v>
      </c>
      <c r="L33" s="96" t="s">
        <v>37</v>
      </c>
    </row>
    <row r="34" spans="1:12" s="85" customFormat="1">
      <c r="A34" s="8">
        <v>41587</v>
      </c>
      <c r="B34" s="9">
        <f ca="1">IF(TODAY()&gt;DATEVALUE("11/11/2013"),B33,"")</f>
        <v>12.6</v>
      </c>
      <c r="C34" s="4">
        <v>12.75</v>
      </c>
      <c r="D34" s="63">
        <f ca="1">IF(C34="","",B34*C34)</f>
        <v>160.65</v>
      </c>
      <c r="E34" s="68">
        <f t="shared" ca="1" si="8"/>
        <v>1537.6325000000002</v>
      </c>
      <c r="F34" s="69">
        <f ca="1">IF(C34="","",D26-E34)</f>
        <v>462.36749999999984</v>
      </c>
      <c r="G34" s="10">
        <f t="shared" ca="1" si="6"/>
        <v>36.695833333333319</v>
      </c>
      <c r="H34" s="20">
        <f ca="1">IF(C34="","",F34/(B34*6))</f>
        <v>6.1159722222222204</v>
      </c>
      <c r="I34" s="11">
        <f t="shared" ca="1" si="7"/>
        <v>12.231944444444441</v>
      </c>
      <c r="K34" s="85" t="s">
        <v>38</v>
      </c>
      <c r="L34" s="94"/>
    </row>
    <row r="35" spans="1:12" s="85" customFormat="1">
      <c r="A35" s="8">
        <v>41601</v>
      </c>
      <c r="B35" s="9">
        <f ca="1">IF(TODAY()&gt;DATEVALUE("11/25/2013"),B34,"")</f>
        <v>12.6</v>
      </c>
      <c r="C35" s="4">
        <v>17.25</v>
      </c>
      <c r="D35" s="63">
        <f ca="1">IF(C35="","",B35*C35)</f>
        <v>217.35</v>
      </c>
      <c r="E35" s="68">
        <f ca="1">IF(C35="","",E34+D35)+223.08</f>
        <v>1978.0625</v>
      </c>
      <c r="F35" s="69">
        <f ca="1">IF(C35="","",D26-E35)</f>
        <v>21.9375</v>
      </c>
      <c r="G35" s="10">
        <f t="shared" ca="1" si="6"/>
        <v>1.7410714285714286</v>
      </c>
      <c r="H35" s="20">
        <f ca="1">IF(C35="","",F35/(B35*4))</f>
        <v>0.43526785714285715</v>
      </c>
      <c r="I35" s="11">
        <f t="shared" ca="1" si="7"/>
        <v>0.8705357142857143</v>
      </c>
      <c r="K35" s="85" t="s">
        <v>39</v>
      </c>
      <c r="L35" s="94"/>
    </row>
    <row r="36" spans="1:12" s="85" customFormat="1">
      <c r="A36" s="8">
        <v>41615</v>
      </c>
      <c r="B36" s="9">
        <f ca="1">IF(TODAY()&gt;DATEVALUE("11/25/2013"),B35,"")</f>
        <v>12.6</v>
      </c>
      <c r="C36" s="4">
        <v>28.5</v>
      </c>
      <c r="D36" s="63">
        <f ca="1">IF(C36="","",B36*C36)</f>
        <v>359.09999999999997</v>
      </c>
      <c r="E36" s="68">
        <f t="shared" ca="1" si="8"/>
        <v>2337.1624999999999</v>
      </c>
      <c r="F36" s="69">
        <f ca="1">IF(C36="","",D26-E36)</f>
        <v>-337.16249999999991</v>
      </c>
      <c r="G36" s="10">
        <f ca="1">IF(C36="","",F36/B36)</f>
        <v>-26.758928571428566</v>
      </c>
      <c r="H36" s="20">
        <f ca="1">IF(C36="","",F36/(B36*2))</f>
        <v>-13.379464285714283</v>
      </c>
      <c r="I36" s="11">
        <f ca="1">IF(C36="","",H36*2)</f>
        <v>-26.758928571428566</v>
      </c>
      <c r="K36" s="85" t="s">
        <v>40</v>
      </c>
      <c r="L36" s="94"/>
    </row>
    <row r="37" spans="1:12" s="85" customFormat="1" ht="14" thickBot="1">
      <c r="A37" s="12">
        <v>41629</v>
      </c>
      <c r="B37" s="5">
        <f ca="1">IF(TODAY()&gt;DATEVALUE("12/08/2013"),B36,"")</f>
        <v>12.6</v>
      </c>
      <c r="C37" s="4">
        <v>26.25</v>
      </c>
      <c r="D37" s="72">
        <f ca="1">IF(C37="","",B37*C37)</f>
        <v>330.75</v>
      </c>
      <c r="E37" s="64">
        <f t="shared" ca="1" si="8"/>
        <v>2667.9124999999999</v>
      </c>
      <c r="F37" s="73">
        <f ca="1">IF(C37="","",D26-E37+F26)+667.91</f>
        <v>1999.9974999999999</v>
      </c>
      <c r="G37" s="13">
        <f t="shared" ca="1" si="6"/>
        <v>158.72996031746032</v>
      </c>
      <c r="H37" s="21" t="e">
        <f ca="1">IF(C37="","",F37/(B37*0))</f>
        <v>#DIV/0!</v>
      </c>
      <c r="I37" s="14" t="e">
        <f t="shared" ca="1" si="7"/>
        <v>#DIV/0!</v>
      </c>
      <c r="J37" s="89">
        <f ca="1">D26-E37</f>
        <v>-667.91249999999991</v>
      </c>
      <c r="K37" s="85" t="s">
        <v>14</v>
      </c>
      <c r="L37" s="95"/>
    </row>
    <row r="38" spans="1:12" s="85" customFormat="1" ht="14" thickTop="1">
      <c r="A38" s="2">
        <v>41643</v>
      </c>
      <c r="B38" s="15">
        <f ca="1">IF(TODAY()&gt;DATEVALUE("01/06/2013"),B37,"")</f>
        <v>12.6</v>
      </c>
      <c r="C38" s="16">
        <v>22</v>
      </c>
      <c r="D38" s="64">
        <f ca="1">IF(C38="","",B38*C38)</f>
        <v>277.2</v>
      </c>
      <c r="E38" s="76">
        <f ca="1">IF(C38="","",D38)</f>
        <v>277.2</v>
      </c>
      <c r="F38" s="77">
        <f t="shared" ref="F38:F47" ca="1" si="9">IF(C38="","",F37-D38)</f>
        <v>1722.7974999999999</v>
      </c>
      <c r="G38" s="6">
        <f t="shared" ca="1" si="6"/>
        <v>136.72996031746032</v>
      </c>
      <c r="H38" s="6">
        <f ca="1">IF(C38="","",F38/(B38*18))</f>
        <v>7.5961089065255729</v>
      </c>
      <c r="I38" s="7">
        <f ca="1">IF(C38="","",H38*2)</f>
        <v>15.192217813051146</v>
      </c>
      <c r="L38" s="95"/>
    </row>
    <row r="39" spans="1:12" s="85" customFormat="1">
      <c r="A39" s="8">
        <v>41657</v>
      </c>
      <c r="B39" s="9">
        <f ca="1">IF(TODAY()&gt;DATEVALUE("1/20/2013"),B38,"")</f>
        <v>12.6</v>
      </c>
      <c r="C39" s="4">
        <v>49</v>
      </c>
      <c r="D39" s="63">
        <f ca="1">IF(C39="","",B39*C39)+81.9</f>
        <v>699.3</v>
      </c>
      <c r="E39" s="68">
        <f ca="1">IF(C39="","",E38+D39)</f>
        <v>976.5</v>
      </c>
      <c r="F39" s="69">
        <f t="shared" ca="1" si="9"/>
        <v>1023.4974999999999</v>
      </c>
      <c r="G39" s="10">
        <f t="shared" ca="1" si="6"/>
        <v>81.229960317460311</v>
      </c>
      <c r="H39" s="20">
        <f ca="1">IF(C39="","",F39/(B39*16))</f>
        <v>5.0768725198412694</v>
      </c>
      <c r="I39" s="11">
        <f t="shared" ca="1" si="7"/>
        <v>10.153745039682539</v>
      </c>
      <c r="L39" s="95"/>
    </row>
    <row r="40" spans="1:12" s="85" customFormat="1">
      <c r="A40" s="8">
        <v>41671</v>
      </c>
      <c r="B40" s="9">
        <f ca="1">IF(TODAY()&gt;DATEVALUE("02/03/2013"),B39,"")</f>
        <v>12.6</v>
      </c>
      <c r="C40" s="4">
        <v>17</v>
      </c>
      <c r="D40" s="63">
        <f ca="1">IF(C40="","",B40*C40)+117.17</f>
        <v>331.37</v>
      </c>
      <c r="E40" s="68">
        <f t="shared" ref="E40:E47" ca="1" si="10">IF(C40="","",E39+D40)</f>
        <v>1307.8699999999999</v>
      </c>
      <c r="F40" s="69">
        <f ca="1">IF(C40="","",F39-D40)</f>
        <v>692.12749999999994</v>
      </c>
      <c r="G40" s="10">
        <f t="shared" ca="1" si="6"/>
        <v>54.930753968253967</v>
      </c>
      <c r="H40" s="20">
        <f ca="1">IF(C40="","",F40/(B40*14))</f>
        <v>3.9236252834467114</v>
      </c>
      <c r="I40" s="11">
        <f t="shared" ca="1" si="7"/>
        <v>7.8472505668934227</v>
      </c>
      <c r="K40" s="90">
        <v>2000</v>
      </c>
      <c r="L40" s="97" t="s">
        <v>41</v>
      </c>
    </row>
    <row r="41" spans="1:12" s="85" customFormat="1">
      <c r="A41" s="8">
        <v>41685</v>
      </c>
      <c r="B41" s="9">
        <f ca="1">IF(TODAY()&gt;DATEVALUE("2/17/2013"),B40,"")</f>
        <v>12.6</v>
      </c>
      <c r="C41" s="4">
        <v>16.5</v>
      </c>
      <c r="D41" s="63">
        <f ca="1">IF(C41="","",B41*C41)+103.19</f>
        <v>311.09000000000003</v>
      </c>
      <c r="E41" s="68">
        <f ca="1">IF(C41="","",E40+D41)</f>
        <v>1618.96</v>
      </c>
      <c r="F41" s="69">
        <f ca="1">IF(C41="","",F40-D41)</f>
        <v>381.03749999999991</v>
      </c>
      <c r="G41" s="10">
        <f t="shared" ca="1" si="6"/>
        <v>30.241071428571423</v>
      </c>
      <c r="H41" s="20">
        <f ca="1">IF(C41="","",F41/(B41*12))</f>
        <v>2.5200892857142851</v>
      </c>
      <c r="I41" s="11">
        <f t="shared" ca="1" si="7"/>
        <v>5.0401785714285703</v>
      </c>
      <c r="K41" s="92">
        <f ca="1">(K40+F46)</f>
        <v>1000.7474999999998</v>
      </c>
      <c r="L41" s="96" t="s">
        <v>37</v>
      </c>
    </row>
    <row r="42" spans="1:12" s="85" customFormat="1">
      <c r="A42" s="8">
        <v>41699</v>
      </c>
      <c r="B42" s="9">
        <f ca="1">IF(TODAY()&gt;DATEVALUE("03/03/2013"),B41,"")</f>
        <v>12.6</v>
      </c>
      <c r="C42" s="4">
        <v>22</v>
      </c>
      <c r="D42" s="63">
        <f ca="1">IF(C42="","",B42*C42)+95.55</f>
        <v>372.75</v>
      </c>
      <c r="E42" s="68">
        <f ca="1">IF(C42="","",E41+D42)</f>
        <v>1991.71</v>
      </c>
      <c r="F42" s="69">
        <f t="shared" ca="1" si="9"/>
        <v>8.2874999999999091</v>
      </c>
      <c r="G42" s="10">
        <f t="shared" ca="1" si="6"/>
        <v>0.65773809523808802</v>
      </c>
      <c r="H42" s="20">
        <f ca="1">IF(C42="","",F42/(B42*10))</f>
        <v>6.5773809523808804E-2</v>
      </c>
      <c r="I42" s="11">
        <f t="shared" ca="1" si="7"/>
        <v>0.13154761904761761</v>
      </c>
      <c r="K42" s="85" t="s">
        <v>38</v>
      </c>
      <c r="L42" s="94"/>
    </row>
    <row r="43" spans="1:12" s="85" customFormat="1">
      <c r="A43" s="8">
        <v>41713</v>
      </c>
      <c r="B43" s="9">
        <f ca="1">IF(TODAY()&gt;DATEVALUE("3/17/2013"),B42,"")</f>
        <v>12.6</v>
      </c>
      <c r="C43" s="4">
        <v>16.75</v>
      </c>
      <c r="D43" s="63">
        <f ca="1">IF(C43="","",B43*C43)+96.32</f>
        <v>307.37</v>
      </c>
      <c r="E43" s="68">
        <f t="shared" ca="1" si="10"/>
        <v>2299.08</v>
      </c>
      <c r="F43" s="69">
        <f t="shared" ca="1" si="9"/>
        <v>-299.0825000000001</v>
      </c>
      <c r="G43" s="10">
        <f t="shared" ca="1" si="6"/>
        <v>-23.736706349206358</v>
      </c>
      <c r="H43" s="20">
        <f ca="1">IF(C43="","",F43/(B43*8))</f>
        <v>-2.9670882936507947</v>
      </c>
      <c r="I43" s="11">
        <f t="shared" ca="1" si="7"/>
        <v>-5.9341765873015895</v>
      </c>
      <c r="K43" s="85" t="s">
        <v>39</v>
      </c>
    </row>
    <row r="44" spans="1:12" s="85" customFormat="1">
      <c r="A44" s="8">
        <v>41727</v>
      </c>
      <c r="B44" s="9">
        <f ca="1">IF(TODAY()&gt;DATEVALUE("3/31/2013"),B43,"")</f>
        <v>12.6</v>
      </c>
      <c r="C44" s="4">
        <v>11.75</v>
      </c>
      <c r="D44" s="63">
        <f ca="1">IF(C44="","",B44*C44)+45.54</f>
        <v>193.58999999999997</v>
      </c>
      <c r="E44" s="68">
        <f ca="1">IF(C44="","",E43+D44)</f>
        <v>2492.67</v>
      </c>
      <c r="F44" s="69">
        <f t="shared" ca="1" si="9"/>
        <v>-492.67250000000007</v>
      </c>
      <c r="G44" s="10">
        <f t="shared" ca="1" si="6"/>
        <v>-39.100992063492072</v>
      </c>
      <c r="H44" s="20">
        <f ca="1">IF(C44="","",F44/(B44*6))</f>
        <v>-6.5168320105820117</v>
      </c>
      <c r="I44" s="11">
        <f t="shared" ca="1" si="7"/>
        <v>-13.033664021164023</v>
      </c>
      <c r="K44" s="85" t="s">
        <v>40</v>
      </c>
    </row>
    <row r="45" spans="1:12" s="85" customFormat="1">
      <c r="A45" s="8">
        <v>41741</v>
      </c>
      <c r="B45" s="9">
        <f ca="1">IF(TODAY()&gt;DATEVALUE("4/14/2013"),B44,"")</f>
        <v>12.6</v>
      </c>
      <c r="C45" s="4">
        <v>16.5</v>
      </c>
      <c r="D45" s="63">
        <f ca="1">IF(C45="","",B45*C45)+97.08</f>
        <v>304.98</v>
      </c>
      <c r="E45" s="68">
        <f t="shared" ca="1" si="10"/>
        <v>2797.65</v>
      </c>
      <c r="F45" s="69">
        <f t="shared" ca="1" si="9"/>
        <v>-797.65250000000015</v>
      </c>
      <c r="G45" s="10">
        <f t="shared" ca="1" si="6"/>
        <v>-63.305753968253981</v>
      </c>
      <c r="H45" s="20">
        <f ca="1">IF(C45="","",F45/(B45*4))</f>
        <v>-15.826438492063495</v>
      </c>
      <c r="I45" s="11">
        <f t="shared" ca="1" si="7"/>
        <v>-31.652876984126991</v>
      </c>
      <c r="L45" s="88"/>
    </row>
    <row r="46" spans="1:12" s="85" customFormat="1">
      <c r="A46" s="8">
        <v>41755</v>
      </c>
      <c r="B46" s="9">
        <f ca="1">IF(TODAY()&gt;DATEVALUE("4/28/2013"),B45,"")</f>
        <v>12.6</v>
      </c>
      <c r="C46" s="4">
        <v>16</v>
      </c>
      <c r="D46" s="63">
        <f ca="1">IF(C46="","",B46*C46)</f>
        <v>201.6</v>
      </c>
      <c r="E46" s="68">
        <f t="shared" ca="1" si="10"/>
        <v>2999.25</v>
      </c>
      <c r="F46" s="69">
        <f t="shared" ca="1" si="9"/>
        <v>-999.25250000000017</v>
      </c>
      <c r="G46" s="10">
        <f t="shared" ca="1" si="6"/>
        <v>-79.305753968253981</v>
      </c>
      <c r="H46" s="20">
        <f ca="1">IF(C46="","",F46/(B46*2))</f>
        <v>-39.652876984126991</v>
      </c>
      <c r="I46" s="11">
        <f t="shared" ca="1" si="7"/>
        <v>-79.305753968253981</v>
      </c>
      <c r="L46" s="88"/>
    </row>
    <row r="47" spans="1:12" s="85" customFormat="1" ht="12" customHeight="1" thickBot="1">
      <c r="A47" s="12">
        <v>41769</v>
      </c>
      <c r="B47" s="17">
        <f ca="1">IF(TODAY()&gt;DATEVALUE("5/12/2013"),B46,"")</f>
        <v>12.6</v>
      </c>
      <c r="C47" s="18"/>
      <c r="D47" s="72" t="str">
        <f>IF(C47="","",B47*C47)</f>
        <v/>
      </c>
      <c r="E47" s="84" t="str">
        <f t="shared" si="10"/>
        <v/>
      </c>
      <c r="F47" s="73" t="str">
        <f t="shared" si="9"/>
        <v/>
      </c>
      <c r="G47" s="19" t="str">
        <f t="shared" si="6"/>
        <v/>
      </c>
      <c r="H47" s="19" t="str">
        <f>IF(C47="","",F47/(B47*0))</f>
        <v/>
      </c>
      <c r="I47" s="14" t="str">
        <f t="shared" si="7"/>
        <v/>
      </c>
      <c r="L47" s="88"/>
    </row>
    <row r="48" spans="1:12" s="85" customFormat="1" ht="12" customHeight="1" thickTop="1"/>
    <row r="49" spans="12:12" s="85" customFormat="1">
      <c r="L49" s="88"/>
    </row>
    <row r="50" spans="12:12" s="85" customFormat="1">
      <c r="L50" s="88"/>
    </row>
    <row r="51" spans="12:12" s="27" customFormat="1">
      <c r="L51" s="28"/>
    </row>
    <row r="52" spans="12:12" s="27" customFormat="1">
      <c r="L52" s="2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16b9d-8c83-445e-a4f4-1fe3d2f43f13" xsi:nil="true"/>
    <lcf76f155ced4ddcb4097134ff3c332f xmlns="4ab10b93-db63-4fb1-bc68-6418726465f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ADDA4092FD0A41914E87F89F170681" ma:contentTypeVersion="18" ma:contentTypeDescription="Create a new document." ma:contentTypeScope="" ma:versionID="c97bcb058901c0b86de7a64a0c4c45fb">
  <xsd:schema xmlns:xsd="http://www.w3.org/2001/XMLSchema" xmlns:xs="http://www.w3.org/2001/XMLSchema" xmlns:p="http://schemas.microsoft.com/office/2006/metadata/properties" xmlns:ns2="4ab10b93-db63-4fb1-bc68-6418726465f5" xmlns:ns3="a0e13ebe-dfad-4d3b-98fa-49d504cd90f9" xmlns:ns4="92c16b9d-8c83-445e-a4f4-1fe3d2f43f13" targetNamespace="http://schemas.microsoft.com/office/2006/metadata/properties" ma:root="true" ma:fieldsID="835504019801e5106006985801652ce0" ns2:_="" ns3:_="" ns4:_="">
    <xsd:import namespace="4ab10b93-db63-4fb1-bc68-6418726465f5"/>
    <xsd:import namespace="a0e13ebe-dfad-4d3b-98fa-49d504cd90f9"/>
    <xsd:import namespace="92c16b9d-8c83-445e-a4f4-1fe3d2f43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10b93-db63-4fb1-bc68-641872646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13ebe-dfad-4d3b-98fa-49d504cd90f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6b9d-8c83-445e-a4f4-1fe3d2f43f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46f664-888b-4716-bb57-2bebe7f6cfb1}" ma:internalName="TaxCatchAll" ma:showField="CatchAllData" ma:web="a0e13ebe-dfad-4d3b-98fa-49d504cd90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7E1B02-9BD9-44AC-9127-1F41DA7C579C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4ab10b93-db63-4fb1-bc68-6418726465f5"/>
    <ds:schemaRef ds:uri="92c16b9d-8c83-445e-a4f4-1fe3d2f43f13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0e13ebe-dfad-4d3b-98fa-49d504cd90f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6227BB7-A7F9-4C18-B9A2-3B95DA82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10b93-db63-4fb1-bc68-6418726465f5"/>
    <ds:schemaRef ds:uri="a0e13ebe-dfad-4d3b-98fa-49d504cd90f9"/>
    <ds:schemaRef ds:uri="92c16b9d-8c83-445e-a4f4-1fe3d2f43f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CAE8FA-6806-4D70-8F9C-FAF5669873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Sample Completed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Financial Aid</dc:creator>
  <cp:lastModifiedBy>Elizabeth LaFave</cp:lastModifiedBy>
  <cp:lastPrinted>2024-05-06T21:34:01Z</cp:lastPrinted>
  <dcterms:created xsi:type="dcterms:W3CDTF">2004-07-26T20:23:03Z</dcterms:created>
  <dcterms:modified xsi:type="dcterms:W3CDTF">2026-03-17T22:45:59Z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0x010100E4ADDA4092FD0A41914E87F89F170681</vt:lpwstr>
  </property>
  <property fmtid="{D5CDD505-2E9C-101B-9397-08002B2CF9AE}" pid="3" name="MediaServiceImageTags">
    <vt:lpwstr/>
  </property>
</Properties>
</file>