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Website/"/>
    </mc:Choice>
  </mc:AlternateContent>
  <xr:revisionPtr revIDLastSave="21" documentId="13_ncr:1_{2EDA16A2-DB6F-4B16-96A6-F1D696E43159}" xr6:coauthVersionLast="47" xr6:coauthVersionMax="47" xr10:uidLastSave="{E7C68061-86CE-4825-871B-BB86C98927C1}"/>
  <bookViews>
    <workbookView xWindow="-120" yWindow="-120"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s>
  <externalReferences>
    <externalReference r:id="rId9"/>
  </externalReferences>
  <definedNames>
    <definedName name="FringeBenefits" localSheetId="5">#REF!</definedName>
    <definedName name="FringeBenefits" localSheetId="3">BudgetForm!$C$42:$C$51</definedName>
    <definedName name="FringeBenefits">#REF!</definedName>
    <definedName name="IndirectCosts" localSheetId="5">#REF!</definedName>
    <definedName name="IndirectCosts" localSheetId="3">BudgetForm!$D$85:$D$85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#REF!</definedName>
    <definedName name="_xlnm.Print_Area" localSheetId="5">'1-CS Summary'!$A$1:$S$68</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Estimation!$B$5:$AE$209</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Estimation!$B$1:$AE$209</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Estimation!$B$1:$AE$209</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s>
  <calcPr calcId="191029" fullPrecision="0"/>
  <customWorkbookViews>
    <customWorkbookView name="HideRows=0" guid="{57C5C8F1-8001-4F07-BD71-B2E547A208C7}" maximized="1" xWindow="1912" yWindow="-8" windowWidth="1936" windowHeight="1096" activeSheetId="1"/>
    <customWorkbookView name="ShowAll" guid="{EEFF5A2A-628E-4803-AAD1-B24B534F2503}"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D8" i="1" l="1"/>
  <c r="Q34" i="23"/>
  <c r="P34" i="23"/>
  <c r="O34" i="23"/>
  <c r="N34" i="23"/>
  <c r="M34" i="23"/>
  <c r="L34" i="23"/>
  <c r="Q32" i="23"/>
  <c r="P32" i="23"/>
  <c r="O32" i="23"/>
  <c r="N32" i="23"/>
  <c r="M32" i="23"/>
  <c r="L32" i="23"/>
  <c r="Q30" i="23"/>
  <c r="P30" i="23"/>
  <c r="O30" i="23"/>
  <c r="N30" i="23"/>
  <c r="M30" i="23"/>
  <c r="L30" i="23"/>
  <c r="Q28" i="23"/>
  <c r="P28" i="23"/>
  <c r="O28" i="23"/>
  <c r="N28" i="23"/>
  <c r="M28" i="23"/>
  <c r="L28" i="23"/>
  <c r="H3" i="14" l="1"/>
  <c r="H2" i="14"/>
  <c r="B3" i="14"/>
  <c r="B2" i="14"/>
  <c r="H3" i="16"/>
  <c r="H2" i="16"/>
  <c r="B3" i="16"/>
  <c r="B2" i="16"/>
  <c r="O5" i="23"/>
  <c r="O3" i="23"/>
  <c r="G5" i="23"/>
  <c r="G4" i="23"/>
  <c r="G3" i="23"/>
  <c r="Q37" i="23"/>
  <c r="Q38" i="23"/>
  <c r="Q39" i="23"/>
  <c r="Q40" i="23"/>
  <c r="Q41" i="23"/>
  <c r="Q42" i="23"/>
  <c r="Q43" i="23"/>
  <c r="Q44" i="23"/>
  <c r="Q48" i="23"/>
  <c r="Q49" i="23"/>
  <c r="Q50" i="23"/>
  <c r="Q51" i="23"/>
  <c r="Q52" i="23"/>
  <c r="Q53" i="23"/>
  <c r="Q54" i="23"/>
  <c r="Q55" i="23"/>
  <c r="Q74" i="23" s="1"/>
  <c r="Q56" i="23"/>
  <c r="Q57" i="23"/>
  <c r="Q58" i="23"/>
  <c r="Q59" i="23"/>
  <c r="Q60" i="23"/>
  <c r="Q61" i="23"/>
  <c r="Q62" i="23"/>
  <c r="Q63" i="23"/>
  <c r="Q64" i="23"/>
  <c r="Q65" i="23"/>
  <c r="Q66" i="23"/>
  <c r="Q67" i="23"/>
  <c r="Q68" i="23"/>
  <c r="A69" i="23"/>
  <c r="Q69" i="23"/>
  <c r="A70" i="23"/>
  <c r="Q70" i="23"/>
  <c r="A71" i="23"/>
  <c r="Q71" i="23"/>
  <c r="A72" i="23"/>
  <c r="Q72" i="23"/>
  <c r="A73" i="23"/>
  <c r="Q73" i="23"/>
  <c r="L74" i="23"/>
  <c r="M74" i="23"/>
  <c r="N74" i="23"/>
  <c r="O74" i="23"/>
  <c r="P74" i="23"/>
  <c r="P80" i="23"/>
  <c r="P83" i="23"/>
  <c r="P84" i="23"/>
  <c r="P87" i="23"/>
  <c r="P89" i="23" s="1"/>
  <c r="P88" i="23"/>
  <c r="C29" i="1"/>
  <c r="C27" i="1"/>
  <c r="C25" i="1"/>
  <c r="C23" i="1"/>
  <c r="C70" i="1"/>
  <c r="C21" i="1"/>
  <c r="C17" i="17" s="1"/>
  <c r="C44" i="20"/>
  <c r="C39" i="20"/>
  <c r="C34" i="20"/>
  <c r="C22" i="20"/>
  <c r="C17" i="20"/>
  <c r="C12" i="20"/>
  <c r="C7" i="20"/>
  <c r="C6" i="20"/>
  <c r="J142" i="1"/>
  <c r="J136" i="1"/>
  <c r="J124" i="1"/>
  <c r="J118" i="1"/>
  <c r="J112" i="1"/>
  <c r="P106" i="1"/>
  <c r="N106" i="1"/>
  <c r="L106" i="1"/>
  <c r="E7" i="20" s="1"/>
  <c r="J106" i="1"/>
  <c r="J187" i="1"/>
  <c r="J189" i="1"/>
  <c r="J127" i="1"/>
  <c r="J129" i="1" s="1"/>
  <c r="L127" i="1"/>
  <c r="N127" i="1"/>
  <c r="P127" i="1"/>
  <c r="G25" i="20" s="1"/>
  <c r="R127" i="1"/>
  <c r="T127" i="1"/>
  <c r="I25" i="20" s="1"/>
  <c r="V127" i="1"/>
  <c r="J25" i="20" s="1"/>
  <c r="X127" i="1"/>
  <c r="K25" i="20" s="1"/>
  <c r="Z127" i="1"/>
  <c r="L25" i="20" s="1"/>
  <c r="AB127" i="1"/>
  <c r="M25" i="20" s="1"/>
  <c r="AF192" i="1"/>
  <c r="G146" i="1"/>
  <c r="G147" i="1"/>
  <c r="G148" i="1"/>
  <c r="H146" i="1"/>
  <c r="H147" i="1"/>
  <c r="H148" i="1"/>
  <c r="J148" i="1"/>
  <c r="L148" i="1"/>
  <c r="N148" i="1"/>
  <c r="P148" i="1"/>
  <c r="R148" i="1"/>
  <c r="T148" i="1"/>
  <c r="V148" i="1"/>
  <c r="X148" i="1"/>
  <c r="Z148" i="1"/>
  <c r="AB148" i="1"/>
  <c r="J147" i="1"/>
  <c r="L147" i="1"/>
  <c r="E43" i="20" s="1"/>
  <c r="N147" i="1"/>
  <c r="F43" i="20" s="1"/>
  <c r="P147" i="1"/>
  <c r="R147" i="1"/>
  <c r="T147" i="1"/>
  <c r="V147" i="1"/>
  <c r="X147" i="1"/>
  <c r="Z147" i="1"/>
  <c r="AB147" i="1"/>
  <c r="M43" i="20" s="1"/>
  <c r="J146" i="1"/>
  <c r="L146" i="1"/>
  <c r="N146" i="1"/>
  <c r="P146" i="1"/>
  <c r="R146" i="1"/>
  <c r="T146" i="1"/>
  <c r="V146" i="1"/>
  <c r="J42" i="20" s="1"/>
  <c r="X146" i="1"/>
  <c r="K42" i="20" s="1"/>
  <c r="Z146" i="1"/>
  <c r="AB146" i="1"/>
  <c r="J145" i="1"/>
  <c r="L145" i="1"/>
  <c r="N145" i="1"/>
  <c r="P145" i="1"/>
  <c r="G41" i="20" s="1"/>
  <c r="R145" i="1"/>
  <c r="T145" i="1"/>
  <c r="V145" i="1"/>
  <c r="X145" i="1"/>
  <c r="Z145" i="1"/>
  <c r="AB145" i="1"/>
  <c r="G140" i="1"/>
  <c r="G141" i="1"/>
  <c r="G142" i="1"/>
  <c r="H140" i="1"/>
  <c r="H141" i="1"/>
  <c r="H142" i="1"/>
  <c r="L142" i="1"/>
  <c r="AD142" i="1" s="1"/>
  <c r="N39" i="20" s="1"/>
  <c r="Q39" i="20" s="1"/>
  <c r="N142" i="1"/>
  <c r="F39" i="20" s="1"/>
  <c r="P142" i="1"/>
  <c r="R142" i="1"/>
  <c r="T142" i="1"/>
  <c r="V142" i="1"/>
  <c r="X142" i="1"/>
  <c r="Z142" i="1"/>
  <c r="AB142" i="1"/>
  <c r="J141" i="1"/>
  <c r="L141" i="1"/>
  <c r="N141" i="1"/>
  <c r="P141" i="1"/>
  <c r="R141" i="1"/>
  <c r="T141" i="1"/>
  <c r="AD141" i="1" s="1"/>
  <c r="N38" i="20" s="1"/>
  <c r="Q38" i="20" s="1"/>
  <c r="V141" i="1"/>
  <c r="X141" i="1"/>
  <c r="Z141" i="1"/>
  <c r="L38" i="20" s="1"/>
  <c r="AB141" i="1"/>
  <c r="J140" i="1"/>
  <c r="L140" i="1"/>
  <c r="N140" i="1"/>
  <c r="P140" i="1"/>
  <c r="R140" i="1"/>
  <c r="H37" i="20" s="1"/>
  <c r="T140" i="1"/>
  <c r="I37" i="20" s="1"/>
  <c r="V140" i="1"/>
  <c r="X140" i="1"/>
  <c r="Z140" i="1"/>
  <c r="AB140" i="1"/>
  <c r="J139" i="1"/>
  <c r="L139" i="1"/>
  <c r="E36" i="20" s="1"/>
  <c r="N139" i="1"/>
  <c r="P139" i="1"/>
  <c r="R139" i="1"/>
  <c r="T139" i="1"/>
  <c r="V139" i="1"/>
  <c r="X139" i="1"/>
  <c r="Z139" i="1"/>
  <c r="AB139" i="1"/>
  <c r="M36" i="20" s="1"/>
  <c r="G134" i="1"/>
  <c r="G135" i="1"/>
  <c r="G136" i="1"/>
  <c r="H134" i="1"/>
  <c r="H135" i="1"/>
  <c r="H136" i="1"/>
  <c r="L136" i="1"/>
  <c r="N136" i="1"/>
  <c r="P136" i="1"/>
  <c r="R136" i="1"/>
  <c r="T136" i="1"/>
  <c r="V136" i="1"/>
  <c r="X136" i="1"/>
  <c r="Z136" i="1"/>
  <c r="AB136" i="1"/>
  <c r="J135" i="1"/>
  <c r="L135" i="1"/>
  <c r="N135" i="1"/>
  <c r="P135" i="1"/>
  <c r="R135" i="1"/>
  <c r="T135" i="1"/>
  <c r="V135" i="1"/>
  <c r="X135" i="1"/>
  <c r="Z135" i="1"/>
  <c r="Z149" i="1" s="1"/>
  <c r="AB135" i="1"/>
  <c r="J134" i="1"/>
  <c r="L134" i="1"/>
  <c r="N134" i="1"/>
  <c r="P134" i="1"/>
  <c r="R134" i="1"/>
  <c r="T134" i="1"/>
  <c r="V134" i="1"/>
  <c r="X134" i="1"/>
  <c r="Z134" i="1"/>
  <c r="AB134" i="1"/>
  <c r="J133" i="1"/>
  <c r="L133" i="1"/>
  <c r="N133" i="1"/>
  <c r="P133" i="1"/>
  <c r="R133" i="1"/>
  <c r="T133" i="1"/>
  <c r="V133" i="1"/>
  <c r="X133" i="1"/>
  <c r="Z133" i="1"/>
  <c r="AB133" i="1"/>
  <c r="G122" i="1"/>
  <c r="G123" i="1"/>
  <c r="G124" i="1"/>
  <c r="H122" i="1"/>
  <c r="H123" i="1"/>
  <c r="H124" i="1"/>
  <c r="L124" i="1"/>
  <c r="N124" i="1"/>
  <c r="P124" i="1"/>
  <c r="R124" i="1"/>
  <c r="T124" i="1"/>
  <c r="V124" i="1"/>
  <c r="X124" i="1"/>
  <c r="K22" i="20" s="1"/>
  <c r="Z124" i="1"/>
  <c r="AB124" i="1"/>
  <c r="J123" i="1"/>
  <c r="L123" i="1"/>
  <c r="N123" i="1"/>
  <c r="P123" i="1"/>
  <c r="R123" i="1"/>
  <c r="H21" i="20" s="1"/>
  <c r="T123" i="1"/>
  <c r="V123" i="1"/>
  <c r="X123" i="1"/>
  <c r="Z123" i="1"/>
  <c r="AB123" i="1"/>
  <c r="J122" i="1"/>
  <c r="L122" i="1"/>
  <c r="E20" i="20" s="1"/>
  <c r="N122" i="1"/>
  <c r="P122" i="1"/>
  <c r="R122" i="1"/>
  <c r="T122" i="1"/>
  <c r="V122" i="1"/>
  <c r="X122" i="1"/>
  <c r="Z122" i="1"/>
  <c r="AB122" i="1"/>
  <c r="J121" i="1"/>
  <c r="L121" i="1"/>
  <c r="N121" i="1"/>
  <c r="P121" i="1"/>
  <c r="R121" i="1"/>
  <c r="T121" i="1"/>
  <c r="I19" i="20" s="1"/>
  <c r="V121" i="1"/>
  <c r="J19" i="20" s="1"/>
  <c r="X121" i="1"/>
  <c r="Z121" i="1"/>
  <c r="AB121" i="1"/>
  <c r="G116" i="1"/>
  <c r="G117" i="1"/>
  <c r="G118" i="1"/>
  <c r="H116" i="1"/>
  <c r="H117" i="1"/>
  <c r="H118" i="1"/>
  <c r="L118" i="1"/>
  <c r="N118" i="1"/>
  <c r="P118" i="1"/>
  <c r="R118" i="1"/>
  <c r="T118" i="1"/>
  <c r="I17" i="20" s="1"/>
  <c r="V118" i="1"/>
  <c r="X118" i="1"/>
  <c r="K17" i="20" s="1"/>
  <c r="Z118" i="1"/>
  <c r="AB118" i="1"/>
  <c r="J117" i="1"/>
  <c r="L117" i="1"/>
  <c r="E16" i="20" s="1"/>
  <c r="N117" i="1"/>
  <c r="F16" i="20" s="1"/>
  <c r="P117" i="1"/>
  <c r="R117" i="1"/>
  <c r="T117" i="1"/>
  <c r="I16" i="20" s="1"/>
  <c r="V117" i="1"/>
  <c r="X117" i="1"/>
  <c r="Z117" i="1"/>
  <c r="AB117" i="1"/>
  <c r="M16" i="20" s="1"/>
  <c r="J116" i="1"/>
  <c r="L116" i="1"/>
  <c r="N116" i="1"/>
  <c r="P116" i="1"/>
  <c r="G15" i="20" s="1"/>
  <c r="R116" i="1"/>
  <c r="T116" i="1"/>
  <c r="V116" i="1"/>
  <c r="J15" i="20" s="1"/>
  <c r="X116" i="1"/>
  <c r="Z116" i="1"/>
  <c r="AB116" i="1"/>
  <c r="J115" i="1"/>
  <c r="L115" i="1"/>
  <c r="N115" i="1"/>
  <c r="P115" i="1"/>
  <c r="G14" i="20" s="1"/>
  <c r="R115" i="1"/>
  <c r="H14" i="20" s="1"/>
  <c r="T115" i="1"/>
  <c r="V115" i="1"/>
  <c r="X115" i="1"/>
  <c r="Z115" i="1"/>
  <c r="AB115" i="1"/>
  <c r="G110" i="1"/>
  <c r="G111" i="1"/>
  <c r="G112" i="1"/>
  <c r="H110" i="1"/>
  <c r="H111" i="1"/>
  <c r="H112" i="1"/>
  <c r="L112" i="1"/>
  <c r="N112" i="1"/>
  <c r="F12" i="20" s="1"/>
  <c r="P112" i="1"/>
  <c r="G12" i="20" s="1"/>
  <c r="R112" i="1"/>
  <c r="T112" i="1"/>
  <c r="V112" i="1"/>
  <c r="X112" i="1"/>
  <c r="Z112" i="1"/>
  <c r="AB112" i="1"/>
  <c r="AD112" i="1"/>
  <c r="N12" i="20" s="1"/>
  <c r="Q12" i="20" s="1"/>
  <c r="J111" i="1"/>
  <c r="L111" i="1"/>
  <c r="N111" i="1"/>
  <c r="P111" i="1"/>
  <c r="R111" i="1"/>
  <c r="T111" i="1"/>
  <c r="V111" i="1"/>
  <c r="X111" i="1"/>
  <c r="K11" i="20" s="1"/>
  <c r="Z111" i="1"/>
  <c r="AB111" i="1"/>
  <c r="J110" i="1"/>
  <c r="L110" i="1"/>
  <c r="N110" i="1"/>
  <c r="P110" i="1"/>
  <c r="R110" i="1"/>
  <c r="T110" i="1"/>
  <c r="V110" i="1"/>
  <c r="X110" i="1"/>
  <c r="Z110" i="1"/>
  <c r="AB110" i="1"/>
  <c r="J109" i="1"/>
  <c r="L109" i="1"/>
  <c r="N109" i="1"/>
  <c r="P109" i="1"/>
  <c r="R109" i="1"/>
  <c r="T109" i="1"/>
  <c r="V109" i="1"/>
  <c r="X109" i="1"/>
  <c r="Z109" i="1"/>
  <c r="AB109" i="1"/>
  <c r="M9" i="20" s="1"/>
  <c r="AB106" i="1"/>
  <c r="Z106" i="1"/>
  <c r="L7" i="20" s="1"/>
  <c r="X106" i="1"/>
  <c r="V106" i="1"/>
  <c r="T106" i="1"/>
  <c r="G104" i="1"/>
  <c r="G105" i="1"/>
  <c r="G106" i="1"/>
  <c r="H104" i="1"/>
  <c r="H105" i="1"/>
  <c r="H106" i="1"/>
  <c r="R106" i="1"/>
  <c r="AB187" i="1"/>
  <c r="Z187" i="1"/>
  <c r="X187" i="1"/>
  <c r="V187" i="1"/>
  <c r="T187" i="1"/>
  <c r="A80" i="1"/>
  <c r="H70" i="1"/>
  <c r="J70" i="1" s="1"/>
  <c r="H71" i="1"/>
  <c r="J71" i="1" s="1"/>
  <c r="H72" i="1"/>
  <c r="AF72" i="1" s="1"/>
  <c r="L33" i="23" s="1"/>
  <c r="H73" i="1"/>
  <c r="H74" i="1"/>
  <c r="J74" i="1" s="1"/>
  <c r="H75" i="1"/>
  <c r="AF75" i="1" s="1"/>
  <c r="H76" i="1"/>
  <c r="AF76" i="1" s="1"/>
  <c r="A77" i="1"/>
  <c r="H77" i="1" s="1"/>
  <c r="J77" i="1" s="1"/>
  <c r="A78" i="1"/>
  <c r="H78" i="1"/>
  <c r="AF78" i="1" s="1"/>
  <c r="A79" i="1"/>
  <c r="H79" i="1"/>
  <c r="H80" i="1"/>
  <c r="J80" i="1" s="1"/>
  <c r="H81" i="1"/>
  <c r="H82" i="1"/>
  <c r="H83" i="1"/>
  <c r="P83" i="1" s="1"/>
  <c r="H84" i="1"/>
  <c r="J84" i="1" s="1"/>
  <c r="H85" i="1"/>
  <c r="J85" i="1" s="1"/>
  <c r="H86" i="1"/>
  <c r="J104" i="1"/>
  <c r="J105" i="1"/>
  <c r="J103" i="1"/>
  <c r="J149" i="1"/>
  <c r="L187" i="1"/>
  <c r="N187" i="1" s="1"/>
  <c r="P187" i="1" s="1"/>
  <c r="R187" i="1" s="1"/>
  <c r="L103" i="1"/>
  <c r="BH34" i="1"/>
  <c r="AF34" i="1"/>
  <c r="BH36" i="1"/>
  <c r="AF36" i="1"/>
  <c r="BH38" i="1"/>
  <c r="AF38" i="1"/>
  <c r="BH22" i="1"/>
  <c r="J22" i="1" s="1"/>
  <c r="BH24" i="1"/>
  <c r="AF24" i="1"/>
  <c r="BH26" i="1"/>
  <c r="AF26" i="1"/>
  <c r="BH28" i="1"/>
  <c r="AF28" i="1"/>
  <c r="BH30" i="1"/>
  <c r="AF30" i="1"/>
  <c r="BH32" i="1"/>
  <c r="AF32" i="1"/>
  <c r="BH40" i="1"/>
  <c r="AF40" i="1"/>
  <c r="BH42" i="1"/>
  <c r="AF42" i="1"/>
  <c r="BH44" i="1"/>
  <c r="AF44" i="1"/>
  <c r="BH46" i="1"/>
  <c r="AF46" i="1"/>
  <c r="BH48" i="1"/>
  <c r="AF48" i="1"/>
  <c r="BH49" i="1"/>
  <c r="AF49" i="1"/>
  <c r="BH51" i="1"/>
  <c r="AF51" i="1"/>
  <c r="BH52" i="1"/>
  <c r="AF52" i="1"/>
  <c r="BH54" i="1"/>
  <c r="AF54" i="1"/>
  <c r="BH55" i="1"/>
  <c r="AF55" i="1"/>
  <c r="BH57" i="1"/>
  <c r="AF57" i="1"/>
  <c r="BH58" i="1"/>
  <c r="AF58" i="1"/>
  <c r="BH60" i="1"/>
  <c r="AF60" i="1"/>
  <c r="BH62" i="1"/>
  <c r="AF62" i="1"/>
  <c r="BH64" i="1"/>
  <c r="AF64" i="1"/>
  <c r="A75" i="1"/>
  <c r="A76" i="1"/>
  <c r="A69" i="1"/>
  <c r="N43" i="17" s="1"/>
  <c r="A70" i="1"/>
  <c r="A71" i="1"/>
  <c r="A72" i="1"/>
  <c r="A73" i="1"/>
  <c r="A74" i="1"/>
  <c r="A81" i="1"/>
  <c r="A82" i="1"/>
  <c r="A83" i="1"/>
  <c r="A84" i="1"/>
  <c r="A85" i="1"/>
  <c r="A86" i="1"/>
  <c r="BK34" i="1"/>
  <c r="BJ34" i="1"/>
  <c r="BL34" i="1"/>
  <c r="AH34" i="1"/>
  <c r="BK36" i="1"/>
  <c r="BJ36" i="1"/>
  <c r="BL36" i="1"/>
  <c r="AH36" i="1"/>
  <c r="BK38" i="1"/>
  <c r="BJ38" i="1"/>
  <c r="BL38" i="1"/>
  <c r="AH38" i="1"/>
  <c r="BJ22" i="1"/>
  <c r="BN22" i="1" s="1"/>
  <c r="BK22" i="1"/>
  <c r="BO22" i="1" s="1"/>
  <c r="BS22" i="1" s="1"/>
  <c r="BW22" i="1" s="1"/>
  <c r="BJ24" i="1"/>
  <c r="BK24" i="1"/>
  <c r="BL24" i="1"/>
  <c r="AH24" i="1"/>
  <c r="BJ26" i="1"/>
  <c r="BK26" i="1"/>
  <c r="BL26" i="1"/>
  <c r="AH26" i="1"/>
  <c r="BJ28" i="1"/>
  <c r="BK28" i="1"/>
  <c r="BL28" i="1"/>
  <c r="AH28" i="1"/>
  <c r="BJ30" i="1"/>
  <c r="BK30" i="1"/>
  <c r="BL30" i="1"/>
  <c r="AH30" i="1"/>
  <c r="BJ32" i="1"/>
  <c r="BK32" i="1"/>
  <c r="BL32" i="1"/>
  <c r="AH32" i="1"/>
  <c r="BJ40" i="1"/>
  <c r="BK40" i="1"/>
  <c r="BL40" i="1"/>
  <c r="AH40" i="1"/>
  <c r="BJ42" i="1"/>
  <c r="BK42" i="1"/>
  <c r="BL42" i="1"/>
  <c r="AH42" i="1"/>
  <c r="BJ44" i="1"/>
  <c r="BK44" i="1"/>
  <c r="BL44" i="1"/>
  <c r="AH44" i="1"/>
  <c r="BJ46" i="1"/>
  <c r="BK46" i="1"/>
  <c r="BL46" i="1"/>
  <c r="AH46" i="1"/>
  <c r="BJ48" i="1"/>
  <c r="BK48" i="1"/>
  <c r="BL48" i="1"/>
  <c r="AH48" i="1"/>
  <c r="BJ49" i="1"/>
  <c r="BK49" i="1"/>
  <c r="BL49" i="1"/>
  <c r="AH49" i="1"/>
  <c r="BJ51" i="1"/>
  <c r="BK51" i="1"/>
  <c r="BL51" i="1"/>
  <c r="AH51" i="1"/>
  <c r="BJ52" i="1"/>
  <c r="BK52" i="1"/>
  <c r="BL52" i="1"/>
  <c r="AH52" i="1"/>
  <c r="BJ54" i="1"/>
  <c r="BK54" i="1"/>
  <c r="BL54" i="1"/>
  <c r="AH54" i="1"/>
  <c r="BJ55" i="1"/>
  <c r="BK55" i="1"/>
  <c r="BL55" i="1"/>
  <c r="AH55" i="1"/>
  <c r="BJ57" i="1"/>
  <c r="BK57" i="1"/>
  <c r="BL57" i="1"/>
  <c r="AH57" i="1"/>
  <c r="BJ58" i="1"/>
  <c r="BK58" i="1"/>
  <c r="BL58" i="1"/>
  <c r="AH58" i="1"/>
  <c r="BJ60" i="1"/>
  <c r="BK60" i="1"/>
  <c r="BL60" i="1"/>
  <c r="AH60" i="1"/>
  <c r="BJ62" i="1"/>
  <c r="BK62" i="1"/>
  <c r="BL62" i="1"/>
  <c r="AH62" i="1"/>
  <c r="BJ64" i="1"/>
  <c r="BK64" i="1"/>
  <c r="BL64" i="1"/>
  <c r="AH64" i="1"/>
  <c r="BO34" i="1"/>
  <c r="BN34" i="1"/>
  <c r="BP34" i="1"/>
  <c r="AJ34" i="1"/>
  <c r="BO36" i="1"/>
  <c r="BN36" i="1"/>
  <c r="BP36" i="1"/>
  <c r="AJ36" i="1"/>
  <c r="BO38" i="1"/>
  <c r="BN38" i="1"/>
  <c r="BP38" i="1"/>
  <c r="AJ38" i="1"/>
  <c r="BN24" i="1"/>
  <c r="BO24" i="1"/>
  <c r="BP24" i="1"/>
  <c r="AJ24" i="1"/>
  <c r="BN26" i="1"/>
  <c r="BO26" i="1"/>
  <c r="BP26" i="1"/>
  <c r="AJ26" i="1"/>
  <c r="BN28" i="1"/>
  <c r="BO28" i="1"/>
  <c r="BP28" i="1"/>
  <c r="AJ28" i="1"/>
  <c r="BN30" i="1"/>
  <c r="BO30" i="1"/>
  <c r="BP30" i="1"/>
  <c r="AJ30" i="1"/>
  <c r="BN32" i="1"/>
  <c r="BO32" i="1"/>
  <c r="BP32" i="1"/>
  <c r="AJ32" i="1"/>
  <c r="BN40" i="1"/>
  <c r="BO40" i="1"/>
  <c r="BP40" i="1"/>
  <c r="AJ40" i="1"/>
  <c r="BN42" i="1"/>
  <c r="BO42" i="1"/>
  <c r="BP42" i="1"/>
  <c r="AJ42" i="1"/>
  <c r="BN44" i="1"/>
  <c r="BO44" i="1"/>
  <c r="BP44" i="1"/>
  <c r="AJ44" i="1"/>
  <c r="BN46" i="1"/>
  <c r="BO46" i="1"/>
  <c r="BP46" i="1"/>
  <c r="AJ46" i="1"/>
  <c r="BN48" i="1"/>
  <c r="BO48" i="1"/>
  <c r="BP48" i="1"/>
  <c r="AJ48" i="1"/>
  <c r="BN49" i="1"/>
  <c r="BO49" i="1"/>
  <c r="BP49" i="1"/>
  <c r="AJ49" i="1"/>
  <c r="BN51" i="1"/>
  <c r="BO51" i="1"/>
  <c r="BP51" i="1"/>
  <c r="AJ51" i="1"/>
  <c r="BN52" i="1"/>
  <c r="BO52" i="1"/>
  <c r="BP52" i="1"/>
  <c r="AJ52" i="1"/>
  <c r="BN54" i="1"/>
  <c r="BO54" i="1"/>
  <c r="BP54" i="1"/>
  <c r="AJ54" i="1"/>
  <c r="BN55" i="1"/>
  <c r="BO55" i="1"/>
  <c r="BP55" i="1"/>
  <c r="AJ55" i="1"/>
  <c r="BN57" i="1"/>
  <c r="BO57" i="1"/>
  <c r="BP57" i="1"/>
  <c r="AJ57" i="1"/>
  <c r="BN58" i="1"/>
  <c r="BO58" i="1"/>
  <c r="BP58" i="1"/>
  <c r="AJ58" i="1"/>
  <c r="BN60" i="1"/>
  <c r="BO60" i="1"/>
  <c r="BP60" i="1"/>
  <c r="AJ60" i="1"/>
  <c r="BN62" i="1"/>
  <c r="BO62" i="1"/>
  <c r="BP62" i="1"/>
  <c r="AJ62" i="1"/>
  <c r="BN64" i="1"/>
  <c r="BO64" i="1"/>
  <c r="BP64" i="1"/>
  <c r="AJ64" i="1"/>
  <c r="BS34" i="1"/>
  <c r="BR34" i="1"/>
  <c r="BT34" i="1"/>
  <c r="AL34" i="1"/>
  <c r="AZ34" i="1" s="1"/>
  <c r="BS36" i="1"/>
  <c r="BR36" i="1"/>
  <c r="BT36" i="1"/>
  <c r="AL36" i="1"/>
  <c r="BS38" i="1"/>
  <c r="BR38" i="1"/>
  <c r="BT38" i="1"/>
  <c r="AL38" i="1"/>
  <c r="AZ38" i="1" s="1"/>
  <c r="BR24" i="1"/>
  <c r="BS24" i="1"/>
  <c r="BT24" i="1"/>
  <c r="AL24" i="1"/>
  <c r="BR26" i="1"/>
  <c r="BS26" i="1"/>
  <c r="BT26" i="1"/>
  <c r="AL26" i="1"/>
  <c r="AZ26" i="1" s="1"/>
  <c r="BR28" i="1"/>
  <c r="BS28" i="1"/>
  <c r="BT28" i="1"/>
  <c r="AL28" i="1"/>
  <c r="BR30" i="1"/>
  <c r="BS30" i="1"/>
  <c r="BT30" i="1"/>
  <c r="AL30" i="1"/>
  <c r="BR32" i="1"/>
  <c r="BS32" i="1"/>
  <c r="BT32" i="1"/>
  <c r="AL32" i="1"/>
  <c r="BR40" i="1"/>
  <c r="BS40" i="1"/>
  <c r="BT40" i="1"/>
  <c r="AL40" i="1"/>
  <c r="BR42" i="1"/>
  <c r="BS42" i="1"/>
  <c r="BT42" i="1"/>
  <c r="AL42" i="1"/>
  <c r="BR44" i="1"/>
  <c r="BS44" i="1"/>
  <c r="BT44" i="1"/>
  <c r="AL44" i="1"/>
  <c r="AZ44" i="1" s="1"/>
  <c r="BR46" i="1"/>
  <c r="BS46" i="1"/>
  <c r="BT46" i="1"/>
  <c r="AL46" i="1"/>
  <c r="BR48" i="1"/>
  <c r="BS48" i="1"/>
  <c r="BT48" i="1"/>
  <c r="AL48" i="1"/>
  <c r="AZ48" i="1" s="1"/>
  <c r="BR49" i="1"/>
  <c r="BS49" i="1"/>
  <c r="BT49" i="1"/>
  <c r="AL49" i="1"/>
  <c r="BR51" i="1"/>
  <c r="BS51" i="1"/>
  <c r="BT51" i="1"/>
  <c r="AL51" i="1"/>
  <c r="AZ51" i="1" s="1"/>
  <c r="BR52" i="1"/>
  <c r="BS52" i="1"/>
  <c r="BT52" i="1"/>
  <c r="AL52" i="1"/>
  <c r="BR54" i="1"/>
  <c r="BS54" i="1"/>
  <c r="BT54" i="1"/>
  <c r="AL54" i="1"/>
  <c r="BR55" i="1"/>
  <c r="BS55" i="1"/>
  <c r="BT55" i="1"/>
  <c r="AL55" i="1"/>
  <c r="BR57" i="1"/>
  <c r="BS57" i="1"/>
  <c r="BT57" i="1"/>
  <c r="AL57" i="1"/>
  <c r="AZ57" i="1" s="1"/>
  <c r="BR58" i="1"/>
  <c r="BS58" i="1"/>
  <c r="BT58" i="1"/>
  <c r="AL58" i="1"/>
  <c r="BR60" i="1"/>
  <c r="BS60" i="1"/>
  <c r="BT60" i="1"/>
  <c r="AL60" i="1"/>
  <c r="AZ60" i="1" s="1"/>
  <c r="BR62" i="1"/>
  <c r="BS62" i="1"/>
  <c r="BT62" i="1"/>
  <c r="AL62" i="1"/>
  <c r="BR64" i="1"/>
  <c r="BS64" i="1"/>
  <c r="BT64" i="1"/>
  <c r="AL64" i="1"/>
  <c r="BW34" i="1"/>
  <c r="BV34" i="1"/>
  <c r="BX34" i="1"/>
  <c r="AN34" i="1"/>
  <c r="BW36" i="1"/>
  <c r="BV36" i="1"/>
  <c r="BX36" i="1"/>
  <c r="AN36" i="1"/>
  <c r="BW38" i="1"/>
  <c r="BV38" i="1"/>
  <c r="BX38" i="1"/>
  <c r="AN38" i="1"/>
  <c r="BV24" i="1"/>
  <c r="BW24" i="1"/>
  <c r="BX24" i="1"/>
  <c r="AN24" i="1"/>
  <c r="BV26" i="1"/>
  <c r="BW26" i="1"/>
  <c r="BX26" i="1"/>
  <c r="AN26" i="1"/>
  <c r="BV28" i="1"/>
  <c r="BW28" i="1"/>
  <c r="BX28" i="1"/>
  <c r="AN28" i="1"/>
  <c r="BV30" i="1"/>
  <c r="BW30" i="1"/>
  <c r="BX30" i="1"/>
  <c r="AN30" i="1"/>
  <c r="BV32" i="1"/>
  <c r="BW32" i="1"/>
  <c r="BX32" i="1"/>
  <c r="AN32" i="1"/>
  <c r="BV40" i="1"/>
  <c r="BW40" i="1"/>
  <c r="BX40" i="1"/>
  <c r="AN40" i="1"/>
  <c r="BV42" i="1"/>
  <c r="BW42" i="1"/>
  <c r="BX42" i="1"/>
  <c r="AN42" i="1"/>
  <c r="BV44" i="1"/>
  <c r="BW44" i="1"/>
  <c r="BX44" i="1"/>
  <c r="AN44" i="1"/>
  <c r="BV46" i="1"/>
  <c r="BW46" i="1"/>
  <c r="BX46" i="1"/>
  <c r="AN46" i="1"/>
  <c r="BV48" i="1"/>
  <c r="BW48" i="1"/>
  <c r="BX48" i="1"/>
  <c r="AN48" i="1"/>
  <c r="BV49" i="1"/>
  <c r="BW49" i="1"/>
  <c r="BX49" i="1"/>
  <c r="AN49" i="1"/>
  <c r="BV51" i="1"/>
  <c r="BW51" i="1"/>
  <c r="BX51" i="1"/>
  <c r="AN51" i="1"/>
  <c r="BV52" i="1"/>
  <c r="BW52" i="1"/>
  <c r="BX52" i="1"/>
  <c r="AN52" i="1"/>
  <c r="BV54" i="1"/>
  <c r="BW54" i="1"/>
  <c r="BX54" i="1"/>
  <c r="AN54" i="1"/>
  <c r="BV55" i="1"/>
  <c r="BW55" i="1"/>
  <c r="BX55" i="1"/>
  <c r="AN55" i="1"/>
  <c r="BV57" i="1"/>
  <c r="BW57" i="1"/>
  <c r="BX57" i="1"/>
  <c r="AN57" i="1"/>
  <c r="BV58" i="1"/>
  <c r="BW58" i="1"/>
  <c r="BX58" i="1"/>
  <c r="AN58" i="1"/>
  <c r="BV60" i="1"/>
  <c r="BW60" i="1"/>
  <c r="BX60" i="1"/>
  <c r="AN60" i="1"/>
  <c r="BV62" i="1"/>
  <c r="BW62" i="1"/>
  <c r="BX62" i="1"/>
  <c r="AN62" i="1"/>
  <c r="BV64" i="1"/>
  <c r="BW64" i="1"/>
  <c r="BX64" i="1"/>
  <c r="AN64" i="1"/>
  <c r="CA34" i="1"/>
  <c r="BZ34" i="1"/>
  <c r="CB34" i="1"/>
  <c r="AP34" i="1"/>
  <c r="CA36" i="1"/>
  <c r="BZ36" i="1"/>
  <c r="CB36" i="1"/>
  <c r="AP36" i="1"/>
  <c r="CA38" i="1"/>
  <c r="BZ38" i="1"/>
  <c r="CB38" i="1"/>
  <c r="AP38" i="1"/>
  <c r="BZ24" i="1"/>
  <c r="CA24" i="1"/>
  <c r="CB24" i="1"/>
  <c r="AP24" i="1"/>
  <c r="BZ26" i="1"/>
  <c r="CA26" i="1"/>
  <c r="CB26" i="1"/>
  <c r="AP26" i="1"/>
  <c r="BZ28" i="1"/>
  <c r="CA28" i="1"/>
  <c r="CB28" i="1"/>
  <c r="AP28" i="1"/>
  <c r="BZ30" i="1"/>
  <c r="CA30" i="1"/>
  <c r="CB30" i="1"/>
  <c r="AP30" i="1"/>
  <c r="BZ32" i="1"/>
  <c r="CA32" i="1"/>
  <c r="CB32" i="1"/>
  <c r="AP32" i="1"/>
  <c r="BZ40" i="1"/>
  <c r="CA40" i="1"/>
  <c r="CB40" i="1"/>
  <c r="AP40" i="1"/>
  <c r="BZ42" i="1"/>
  <c r="CA42" i="1"/>
  <c r="CB42" i="1"/>
  <c r="AP42" i="1"/>
  <c r="BZ44" i="1"/>
  <c r="CA44" i="1"/>
  <c r="CB44" i="1"/>
  <c r="AP44" i="1"/>
  <c r="BZ46" i="1"/>
  <c r="CA46" i="1"/>
  <c r="CB46" i="1"/>
  <c r="AP46" i="1"/>
  <c r="BZ48" i="1"/>
  <c r="CA48" i="1"/>
  <c r="CB48" i="1"/>
  <c r="AP48" i="1"/>
  <c r="BZ49" i="1"/>
  <c r="CA49" i="1"/>
  <c r="CB49" i="1"/>
  <c r="AP49" i="1"/>
  <c r="BZ51" i="1"/>
  <c r="CA51" i="1"/>
  <c r="CB51" i="1"/>
  <c r="AP51" i="1"/>
  <c r="BZ52" i="1"/>
  <c r="CA52" i="1"/>
  <c r="CB52" i="1"/>
  <c r="AP52" i="1"/>
  <c r="BZ54" i="1"/>
  <c r="CA54" i="1"/>
  <c r="CB54" i="1"/>
  <c r="AP54" i="1"/>
  <c r="BZ55" i="1"/>
  <c r="CA55" i="1"/>
  <c r="CB55" i="1"/>
  <c r="AP55" i="1"/>
  <c r="BZ57" i="1"/>
  <c r="CA57" i="1"/>
  <c r="CB57" i="1"/>
  <c r="AP57" i="1"/>
  <c r="BZ58" i="1"/>
  <c r="CA58" i="1"/>
  <c r="CB58" i="1"/>
  <c r="AP58" i="1"/>
  <c r="BZ60" i="1"/>
  <c r="CA60" i="1"/>
  <c r="CB60" i="1"/>
  <c r="AP60" i="1"/>
  <c r="BZ62" i="1"/>
  <c r="CA62" i="1"/>
  <c r="CB62" i="1"/>
  <c r="AP62" i="1"/>
  <c r="BZ64" i="1"/>
  <c r="CA64" i="1"/>
  <c r="CB64" i="1"/>
  <c r="AP64" i="1"/>
  <c r="BZ22" i="1"/>
  <c r="CD22" i="1" s="1"/>
  <c r="CH22" i="1" s="1"/>
  <c r="CL22" i="1" s="1"/>
  <c r="CP22" i="1" s="1"/>
  <c r="CA22" i="1"/>
  <c r="CE22" i="1" s="1"/>
  <c r="CE34" i="1"/>
  <c r="CD34" i="1"/>
  <c r="CF34" i="1"/>
  <c r="AR34" i="1"/>
  <c r="CE36" i="1"/>
  <c r="CD36" i="1"/>
  <c r="CF36" i="1"/>
  <c r="AR36" i="1"/>
  <c r="CE38" i="1"/>
  <c r="CD38" i="1"/>
  <c r="CF38" i="1"/>
  <c r="AR38" i="1"/>
  <c r="CD24" i="1"/>
  <c r="CE24" i="1"/>
  <c r="CF24" i="1"/>
  <c r="AR24" i="1"/>
  <c r="CD26" i="1"/>
  <c r="CE26" i="1"/>
  <c r="CF26" i="1"/>
  <c r="AR26" i="1"/>
  <c r="CD28" i="1"/>
  <c r="CE28" i="1"/>
  <c r="CF28" i="1"/>
  <c r="AR28" i="1"/>
  <c r="CD30" i="1"/>
  <c r="CE30" i="1"/>
  <c r="CF30" i="1"/>
  <c r="AR30" i="1"/>
  <c r="CD32" i="1"/>
  <c r="CE32" i="1"/>
  <c r="CF32" i="1"/>
  <c r="AR32" i="1"/>
  <c r="CD40" i="1"/>
  <c r="CE40" i="1"/>
  <c r="CF40" i="1"/>
  <c r="AR40" i="1"/>
  <c r="CD42" i="1"/>
  <c r="CE42" i="1"/>
  <c r="CF42" i="1"/>
  <c r="AR42" i="1"/>
  <c r="CD44" i="1"/>
  <c r="CE44" i="1"/>
  <c r="CF44" i="1"/>
  <c r="AR44" i="1"/>
  <c r="CD46" i="1"/>
  <c r="CE46" i="1"/>
  <c r="CF46" i="1"/>
  <c r="AR46" i="1"/>
  <c r="CD48" i="1"/>
  <c r="CE48" i="1"/>
  <c r="CF48" i="1"/>
  <c r="AR48" i="1"/>
  <c r="CD49" i="1"/>
  <c r="CE49" i="1"/>
  <c r="CF49" i="1"/>
  <c r="AR49" i="1"/>
  <c r="CD51" i="1"/>
  <c r="CE51" i="1"/>
  <c r="CF51" i="1"/>
  <c r="AR51" i="1"/>
  <c r="CD52" i="1"/>
  <c r="CE52" i="1"/>
  <c r="CF52" i="1"/>
  <c r="AR52" i="1"/>
  <c r="CD54" i="1"/>
  <c r="CE54" i="1"/>
  <c r="CF54" i="1"/>
  <c r="AR54" i="1"/>
  <c r="CD55" i="1"/>
  <c r="CE55" i="1"/>
  <c r="CF55" i="1"/>
  <c r="AR55" i="1"/>
  <c r="CD57" i="1"/>
  <c r="CE57" i="1"/>
  <c r="CF57" i="1"/>
  <c r="AR57" i="1"/>
  <c r="CD58" i="1"/>
  <c r="CE58" i="1"/>
  <c r="CF58" i="1"/>
  <c r="AR58" i="1"/>
  <c r="CD60" i="1"/>
  <c r="CE60" i="1"/>
  <c r="CF60" i="1"/>
  <c r="AR60" i="1"/>
  <c r="CD62" i="1"/>
  <c r="CE62" i="1"/>
  <c r="CF62" i="1"/>
  <c r="AR62" i="1"/>
  <c r="CD64" i="1"/>
  <c r="CE64" i="1"/>
  <c r="CF64" i="1"/>
  <c r="AR64" i="1"/>
  <c r="CI34" i="1"/>
  <c r="CH34" i="1"/>
  <c r="CJ34" i="1"/>
  <c r="AT34" i="1"/>
  <c r="CI36" i="1"/>
  <c r="CH36" i="1"/>
  <c r="CJ36" i="1"/>
  <c r="AT36" i="1"/>
  <c r="CI38" i="1"/>
  <c r="CH38" i="1"/>
  <c r="CJ38" i="1"/>
  <c r="AT38" i="1"/>
  <c r="CH24" i="1"/>
  <c r="CI24" i="1"/>
  <c r="CJ24" i="1"/>
  <c r="AT24" i="1"/>
  <c r="CH26" i="1"/>
  <c r="CI26" i="1"/>
  <c r="CJ26" i="1"/>
  <c r="AT26" i="1"/>
  <c r="CH28" i="1"/>
  <c r="CI28" i="1"/>
  <c r="CJ28" i="1"/>
  <c r="AT28" i="1"/>
  <c r="CH30" i="1"/>
  <c r="CI30" i="1"/>
  <c r="CJ30" i="1"/>
  <c r="AT30" i="1"/>
  <c r="CH32" i="1"/>
  <c r="CI32" i="1"/>
  <c r="CJ32" i="1"/>
  <c r="AT32" i="1"/>
  <c r="CH40" i="1"/>
  <c r="CI40" i="1"/>
  <c r="CJ40" i="1"/>
  <c r="AT40" i="1"/>
  <c r="CH42" i="1"/>
  <c r="CI42" i="1"/>
  <c r="CJ42" i="1"/>
  <c r="AT42" i="1"/>
  <c r="CH44" i="1"/>
  <c r="CI44" i="1"/>
  <c r="CJ44" i="1"/>
  <c r="AT44" i="1"/>
  <c r="CH46" i="1"/>
  <c r="CI46" i="1"/>
  <c r="CJ46" i="1"/>
  <c r="AT46" i="1"/>
  <c r="CH48" i="1"/>
  <c r="CI48" i="1"/>
  <c r="CJ48" i="1"/>
  <c r="AT48" i="1"/>
  <c r="CH49" i="1"/>
  <c r="CI49" i="1"/>
  <c r="CJ49" i="1"/>
  <c r="AT49" i="1"/>
  <c r="CH51" i="1"/>
  <c r="CI51" i="1"/>
  <c r="CJ51" i="1"/>
  <c r="AT51" i="1"/>
  <c r="CH52" i="1"/>
  <c r="CI52" i="1"/>
  <c r="CJ52" i="1"/>
  <c r="AT52" i="1"/>
  <c r="CH54" i="1"/>
  <c r="CI54" i="1"/>
  <c r="CJ54" i="1"/>
  <c r="AT54" i="1"/>
  <c r="CH55" i="1"/>
  <c r="CI55" i="1"/>
  <c r="CJ55" i="1"/>
  <c r="AT55" i="1"/>
  <c r="CH57" i="1"/>
  <c r="CI57" i="1"/>
  <c r="CJ57" i="1"/>
  <c r="AT57" i="1"/>
  <c r="CH58" i="1"/>
  <c r="CI58" i="1"/>
  <c r="CJ58" i="1"/>
  <c r="AT58" i="1"/>
  <c r="CH60" i="1"/>
  <c r="CI60" i="1"/>
  <c r="CJ60" i="1"/>
  <c r="AT60" i="1"/>
  <c r="CH62" i="1"/>
  <c r="CI62" i="1"/>
  <c r="CJ62" i="1"/>
  <c r="AT62" i="1"/>
  <c r="CH64" i="1"/>
  <c r="CI64" i="1"/>
  <c r="CJ64" i="1"/>
  <c r="AT64" i="1"/>
  <c r="CM34" i="1"/>
  <c r="CL34" i="1"/>
  <c r="CN34" i="1"/>
  <c r="AV34" i="1"/>
  <c r="CM36" i="1"/>
  <c r="CL36" i="1"/>
  <c r="CN36" i="1"/>
  <c r="AV36" i="1"/>
  <c r="CM38" i="1"/>
  <c r="CL38" i="1"/>
  <c r="CN38" i="1"/>
  <c r="AV38" i="1"/>
  <c r="CL24" i="1"/>
  <c r="CM24" i="1"/>
  <c r="CN24" i="1"/>
  <c r="AV24" i="1"/>
  <c r="CL26" i="1"/>
  <c r="CM26" i="1"/>
  <c r="CN26" i="1"/>
  <c r="AV26" i="1"/>
  <c r="CL28" i="1"/>
  <c r="CM28" i="1"/>
  <c r="CN28" i="1"/>
  <c r="AV28" i="1"/>
  <c r="CL30" i="1"/>
  <c r="CM30" i="1"/>
  <c r="CN30" i="1"/>
  <c r="AV30" i="1"/>
  <c r="CL32" i="1"/>
  <c r="CM32" i="1"/>
  <c r="CN32" i="1"/>
  <c r="AV32" i="1"/>
  <c r="CL40" i="1"/>
  <c r="CM40" i="1"/>
  <c r="CN40" i="1"/>
  <c r="AV40" i="1"/>
  <c r="CL42" i="1"/>
  <c r="CM42" i="1"/>
  <c r="CN42" i="1"/>
  <c r="AV42" i="1"/>
  <c r="CL44" i="1"/>
  <c r="CM44" i="1"/>
  <c r="CN44" i="1"/>
  <c r="AV44" i="1"/>
  <c r="CL46" i="1"/>
  <c r="CM46" i="1"/>
  <c r="CN46" i="1"/>
  <c r="AV46" i="1"/>
  <c r="CL48" i="1"/>
  <c r="CM48" i="1"/>
  <c r="CN48" i="1"/>
  <c r="AV48" i="1"/>
  <c r="CL49" i="1"/>
  <c r="CM49" i="1"/>
  <c r="CN49" i="1"/>
  <c r="AV49" i="1"/>
  <c r="CL51" i="1"/>
  <c r="CM51" i="1"/>
  <c r="CN51" i="1"/>
  <c r="AV51" i="1"/>
  <c r="CL52" i="1"/>
  <c r="CM52" i="1"/>
  <c r="CN52" i="1"/>
  <c r="AV52" i="1"/>
  <c r="CL54" i="1"/>
  <c r="CM54" i="1"/>
  <c r="CN54" i="1"/>
  <c r="AV54" i="1"/>
  <c r="CL55" i="1"/>
  <c r="CM55" i="1"/>
  <c r="CN55" i="1"/>
  <c r="AV55" i="1"/>
  <c r="CL57" i="1"/>
  <c r="CM57" i="1"/>
  <c r="CN57" i="1"/>
  <c r="AV57" i="1"/>
  <c r="CL58" i="1"/>
  <c r="CM58" i="1"/>
  <c r="CN58" i="1"/>
  <c r="AV58" i="1"/>
  <c r="CL60" i="1"/>
  <c r="CM60" i="1"/>
  <c r="CN60" i="1"/>
  <c r="AV60" i="1"/>
  <c r="CL62" i="1"/>
  <c r="CM62" i="1"/>
  <c r="CN62" i="1"/>
  <c r="AV62" i="1"/>
  <c r="CL64" i="1"/>
  <c r="CM64" i="1"/>
  <c r="CN64" i="1"/>
  <c r="AV64" i="1"/>
  <c r="CQ34" i="1"/>
  <c r="CP34" i="1"/>
  <c r="CR34" i="1"/>
  <c r="AX34" i="1"/>
  <c r="CQ36" i="1"/>
  <c r="CP36" i="1"/>
  <c r="CR36" i="1"/>
  <c r="AX36" i="1"/>
  <c r="CQ38" i="1"/>
  <c r="CP38" i="1"/>
  <c r="CR38" i="1"/>
  <c r="AX38" i="1"/>
  <c r="CP24" i="1"/>
  <c r="CQ24" i="1"/>
  <c r="CR24" i="1"/>
  <c r="AX24" i="1"/>
  <c r="CP26" i="1"/>
  <c r="CQ26" i="1"/>
  <c r="CR26" i="1"/>
  <c r="AX26" i="1"/>
  <c r="CP28" i="1"/>
  <c r="CQ28" i="1"/>
  <c r="CR28" i="1"/>
  <c r="AX28" i="1"/>
  <c r="CP30" i="1"/>
  <c r="CQ30" i="1"/>
  <c r="CR30" i="1"/>
  <c r="AX30" i="1"/>
  <c r="CP32" i="1"/>
  <c r="CQ32" i="1"/>
  <c r="CR32" i="1"/>
  <c r="AX32" i="1"/>
  <c r="CP40" i="1"/>
  <c r="CQ40" i="1"/>
  <c r="CR40" i="1"/>
  <c r="AX40" i="1"/>
  <c r="CP42" i="1"/>
  <c r="CQ42" i="1"/>
  <c r="CR42" i="1"/>
  <c r="AX42" i="1"/>
  <c r="CP44" i="1"/>
  <c r="CQ44" i="1"/>
  <c r="CR44" i="1"/>
  <c r="AX44" i="1"/>
  <c r="CP46" i="1"/>
  <c r="CQ46" i="1"/>
  <c r="CR46" i="1"/>
  <c r="AX46" i="1"/>
  <c r="CP48" i="1"/>
  <c r="CQ48" i="1"/>
  <c r="CR48" i="1"/>
  <c r="AX48" i="1"/>
  <c r="CP49" i="1"/>
  <c r="CQ49" i="1"/>
  <c r="CR49" i="1"/>
  <c r="AX49" i="1"/>
  <c r="CP51" i="1"/>
  <c r="CQ51" i="1"/>
  <c r="CR51" i="1"/>
  <c r="AX51" i="1"/>
  <c r="CP52" i="1"/>
  <c r="CQ52" i="1"/>
  <c r="CR52" i="1"/>
  <c r="AX52" i="1"/>
  <c r="CP54" i="1"/>
  <c r="CQ54" i="1"/>
  <c r="CR54" i="1"/>
  <c r="AX54" i="1"/>
  <c r="CP55" i="1"/>
  <c r="CQ55" i="1"/>
  <c r="CR55" i="1"/>
  <c r="AX55" i="1"/>
  <c r="CP57" i="1"/>
  <c r="CQ57" i="1"/>
  <c r="CR57" i="1"/>
  <c r="AX57" i="1"/>
  <c r="CP58" i="1"/>
  <c r="CQ58" i="1"/>
  <c r="CR58" i="1"/>
  <c r="AX58" i="1"/>
  <c r="CP60" i="1"/>
  <c r="CQ60" i="1"/>
  <c r="CR60" i="1"/>
  <c r="AX60" i="1"/>
  <c r="CP62" i="1"/>
  <c r="CQ62" i="1"/>
  <c r="CR62" i="1"/>
  <c r="AX62" i="1"/>
  <c r="CP64" i="1"/>
  <c r="CQ64" i="1"/>
  <c r="CR64" i="1"/>
  <c r="AX64" i="1"/>
  <c r="T190" i="1"/>
  <c r="V190" i="1" s="1"/>
  <c r="X190" i="1" s="1"/>
  <c r="Z190" i="1" s="1"/>
  <c r="AB190" i="1" s="1"/>
  <c r="T189" i="1"/>
  <c r="L189" i="1"/>
  <c r="N189" i="1" s="1"/>
  <c r="J190" i="1"/>
  <c r="L190" i="1"/>
  <c r="N190" i="1" s="1"/>
  <c r="C46" i="17"/>
  <c r="J24" i="1"/>
  <c r="J26" i="1"/>
  <c r="J28" i="1"/>
  <c r="J30" i="1"/>
  <c r="J32" i="1"/>
  <c r="J34" i="1"/>
  <c r="J36" i="1"/>
  <c r="J38" i="1"/>
  <c r="J40" i="1"/>
  <c r="J42" i="1"/>
  <c r="J44" i="1"/>
  <c r="J46" i="1"/>
  <c r="J48" i="1"/>
  <c r="J49" i="1"/>
  <c r="J51" i="1"/>
  <c r="J52" i="1"/>
  <c r="J54" i="1"/>
  <c r="J55" i="1"/>
  <c r="J57" i="1"/>
  <c r="J58" i="1"/>
  <c r="C45" i="17"/>
  <c r="R45" i="17" s="1"/>
  <c r="C42" i="17"/>
  <c r="C44" i="17"/>
  <c r="P24" i="1"/>
  <c r="P26" i="1"/>
  <c r="P28" i="1"/>
  <c r="L23" i="17" s="1"/>
  <c r="P30" i="1"/>
  <c r="L25" i="17" s="1"/>
  <c r="P32" i="1"/>
  <c r="AD32" i="1" s="1"/>
  <c r="P34" i="1"/>
  <c r="P36" i="1"/>
  <c r="P38" i="1"/>
  <c r="P40" i="1"/>
  <c r="P42" i="1"/>
  <c r="P44" i="1"/>
  <c r="P46" i="1"/>
  <c r="AD46" i="1" s="1"/>
  <c r="P48" i="1"/>
  <c r="AD48" i="1" s="1"/>
  <c r="P49" i="1"/>
  <c r="P51" i="1"/>
  <c r="P52" i="1"/>
  <c r="P54" i="1"/>
  <c r="P55" i="1"/>
  <c r="P57" i="1"/>
  <c r="P58" i="1"/>
  <c r="AD58" i="1" s="1"/>
  <c r="P165" i="1"/>
  <c r="P98" i="1"/>
  <c r="P103" i="1"/>
  <c r="P104" i="1"/>
  <c r="P105" i="1"/>
  <c r="N24" i="1"/>
  <c r="N26" i="1"/>
  <c r="AD26" i="1" s="1"/>
  <c r="N28" i="1"/>
  <c r="J23" i="17" s="1"/>
  <c r="N30" i="1"/>
  <c r="N73" i="1" s="1"/>
  <c r="N32" i="1"/>
  <c r="N34" i="1"/>
  <c r="N36" i="1"/>
  <c r="N38" i="1"/>
  <c r="N40" i="1"/>
  <c r="N42" i="1"/>
  <c r="N44" i="1"/>
  <c r="AD44" i="1" s="1"/>
  <c r="N46" i="1"/>
  <c r="N48" i="1"/>
  <c r="N49" i="1"/>
  <c r="N51" i="1"/>
  <c r="N52" i="1"/>
  <c r="N54" i="1"/>
  <c r="N55" i="1"/>
  <c r="N57" i="1"/>
  <c r="AD57" i="1" s="1"/>
  <c r="N58" i="1"/>
  <c r="N165" i="1"/>
  <c r="N98" i="1"/>
  <c r="N103" i="1"/>
  <c r="N104" i="1"/>
  <c r="N105" i="1"/>
  <c r="L24" i="1"/>
  <c r="H19" i="17" s="1"/>
  <c r="L26" i="1"/>
  <c r="L28" i="1"/>
  <c r="L30" i="1"/>
  <c r="L32" i="1"/>
  <c r="L34" i="1"/>
  <c r="L36" i="1"/>
  <c r="L38" i="1"/>
  <c r="L40" i="1"/>
  <c r="AD40" i="1" s="1"/>
  <c r="L42" i="1"/>
  <c r="L44" i="1"/>
  <c r="L46" i="1"/>
  <c r="L48" i="1"/>
  <c r="L49" i="1"/>
  <c r="L51" i="1"/>
  <c r="L52" i="1"/>
  <c r="H36" i="17" s="1"/>
  <c r="L54" i="1"/>
  <c r="AD54" i="1" s="1"/>
  <c r="L55" i="1"/>
  <c r="L57" i="1"/>
  <c r="L58" i="1"/>
  <c r="L165" i="1"/>
  <c r="L98" i="1"/>
  <c r="L104" i="1"/>
  <c r="E5" i="20" s="1"/>
  <c r="L105" i="1"/>
  <c r="J155" i="1"/>
  <c r="J156" i="1"/>
  <c r="J157" i="1"/>
  <c r="J158" i="1"/>
  <c r="J160" i="1"/>
  <c r="J161" i="1"/>
  <c r="J162" i="1"/>
  <c r="J163" i="1"/>
  <c r="J165" i="1"/>
  <c r="J98" i="1"/>
  <c r="R24" i="1"/>
  <c r="R26" i="1"/>
  <c r="R28" i="1"/>
  <c r="N23" i="17" s="1"/>
  <c r="R30" i="1"/>
  <c r="R32" i="1"/>
  <c r="R34" i="1"/>
  <c r="AD34" i="1" s="1"/>
  <c r="R36" i="1"/>
  <c r="R38" i="1"/>
  <c r="R40" i="1"/>
  <c r="R42" i="1"/>
  <c r="R44" i="1"/>
  <c r="R46" i="1"/>
  <c r="R48" i="1"/>
  <c r="N36" i="17" s="1"/>
  <c r="R49" i="1"/>
  <c r="AD49" i="1" s="1"/>
  <c r="R51" i="1"/>
  <c r="R52" i="1"/>
  <c r="R54" i="1"/>
  <c r="R55" i="1"/>
  <c r="R57" i="1"/>
  <c r="R58" i="1"/>
  <c r="R165" i="1"/>
  <c r="R98" i="1"/>
  <c r="R103" i="1"/>
  <c r="R129" i="1" s="1"/>
  <c r="H27" i="20" s="1"/>
  <c r="R104" i="1"/>
  <c r="H5" i="20" s="1"/>
  <c r="R105" i="1"/>
  <c r="H6" i="20" s="1"/>
  <c r="T24" i="1"/>
  <c r="T26" i="1"/>
  <c r="T28" i="1"/>
  <c r="P23" i="17" s="1"/>
  <c r="T30" i="1"/>
  <c r="P25" i="17" s="1"/>
  <c r="T32" i="1"/>
  <c r="T34" i="1"/>
  <c r="T36" i="1"/>
  <c r="T38" i="1"/>
  <c r="T40" i="1"/>
  <c r="T42" i="1"/>
  <c r="T44" i="1"/>
  <c r="T46" i="1"/>
  <c r="T48" i="1"/>
  <c r="T49" i="1"/>
  <c r="T51" i="1"/>
  <c r="T52" i="1"/>
  <c r="T54" i="1"/>
  <c r="T55" i="1"/>
  <c r="T57" i="1"/>
  <c r="T58" i="1"/>
  <c r="P36" i="17" s="1"/>
  <c r="T60" i="1"/>
  <c r="T62" i="1"/>
  <c r="T64" i="1"/>
  <c r="T165" i="1"/>
  <c r="T98" i="1"/>
  <c r="T149" i="1"/>
  <c r="T103" i="1"/>
  <c r="T104" i="1"/>
  <c r="T105" i="1"/>
  <c r="V24" i="1"/>
  <c r="V26" i="1"/>
  <c r="V28" i="1"/>
  <c r="V30" i="1"/>
  <c r="R25" i="17" s="1"/>
  <c r="V73" i="1"/>
  <c r="V32" i="1"/>
  <c r="V34" i="1"/>
  <c r="V36" i="1"/>
  <c r="V38" i="1"/>
  <c r="V40" i="1"/>
  <c r="V42" i="1"/>
  <c r="V44" i="1"/>
  <c r="V46" i="1"/>
  <c r="V48" i="1"/>
  <c r="R36" i="17" s="1"/>
  <c r="V49" i="1"/>
  <c r="V51" i="1"/>
  <c r="V52" i="1"/>
  <c r="V54" i="1"/>
  <c r="V55" i="1"/>
  <c r="V57" i="1"/>
  <c r="V58" i="1"/>
  <c r="V60" i="1"/>
  <c r="AD60" i="1" s="1"/>
  <c r="V62" i="1"/>
  <c r="V64" i="1"/>
  <c r="V165" i="1"/>
  <c r="V98" i="1"/>
  <c r="V103" i="1"/>
  <c r="V104" i="1"/>
  <c r="V105" i="1"/>
  <c r="X24" i="1"/>
  <c r="X26" i="1"/>
  <c r="T21" i="17" s="1"/>
  <c r="X28" i="1"/>
  <c r="X30" i="1"/>
  <c r="T25" i="17" s="1"/>
  <c r="X32" i="1"/>
  <c r="X34" i="1"/>
  <c r="X36" i="1"/>
  <c r="AD36" i="1" s="1"/>
  <c r="X38" i="1"/>
  <c r="X40" i="1"/>
  <c r="X42" i="1"/>
  <c r="X44" i="1"/>
  <c r="X46" i="1"/>
  <c r="X48" i="1"/>
  <c r="X49" i="1"/>
  <c r="T36" i="17" s="1"/>
  <c r="X51" i="1"/>
  <c r="AD51" i="1" s="1"/>
  <c r="X52" i="1"/>
  <c r="X54" i="1"/>
  <c r="X55" i="1"/>
  <c r="X57" i="1"/>
  <c r="X58" i="1"/>
  <c r="X85" i="1"/>
  <c r="X60" i="1"/>
  <c r="X62" i="1"/>
  <c r="X64" i="1"/>
  <c r="X165" i="1"/>
  <c r="X98" i="1"/>
  <c r="X103" i="1"/>
  <c r="K4" i="20" s="1"/>
  <c r="X104" i="1"/>
  <c r="K5" i="20" s="1"/>
  <c r="X105" i="1"/>
  <c r="Z24" i="1"/>
  <c r="V19" i="17" s="1"/>
  <c r="Z26" i="1"/>
  <c r="V21" i="17" s="1"/>
  <c r="Z28" i="1"/>
  <c r="Z30" i="1"/>
  <c r="V25" i="17" s="1"/>
  <c r="Z32" i="1"/>
  <c r="Z34" i="1"/>
  <c r="Z36" i="1"/>
  <c r="Z38" i="1"/>
  <c r="Z40" i="1"/>
  <c r="Z42" i="1"/>
  <c r="Z44" i="1"/>
  <c r="Z46" i="1"/>
  <c r="Z48" i="1"/>
  <c r="Z49" i="1"/>
  <c r="Z51" i="1"/>
  <c r="Z52" i="1"/>
  <c r="V36" i="17" s="1"/>
  <c r="Z54" i="1"/>
  <c r="Z55" i="1"/>
  <c r="Z57" i="1"/>
  <c r="Z58" i="1"/>
  <c r="Z60" i="1"/>
  <c r="Z62" i="1"/>
  <c r="Z64" i="1"/>
  <c r="Z165" i="1"/>
  <c r="Z98" i="1"/>
  <c r="Z103" i="1"/>
  <c r="Z104" i="1"/>
  <c r="L5" i="20" s="1"/>
  <c r="Z105" i="1"/>
  <c r="AB24" i="1"/>
  <c r="AB26" i="1"/>
  <c r="X21" i="17" s="1"/>
  <c r="AB28" i="1"/>
  <c r="X23" i="17" s="1"/>
  <c r="AB30" i="1"/>
  <c r="AB32" i="1"/>
  <c r="AB34" i="1"/>
  <c r="AB36" i="1"/>
  <c r="AB38" i="1"/>
  <c r="AB40" i="1"/>
  <c r="AB42" i="1"/>
  <c r="AB44" i="1"/>
  <c r="AB46" i="1"/>
  <c r="AB48" i="1"/>
  <c r="AB49" i="1"/>
  <c r="AB51" i="1"/>
  <c r="AB52" i="1"/>
  <c r="AB54" i="1"/>
  <c r="AB55" i="1"/>
  <c r="AB57" i="1"/>
  <c r="X36" i="17" s="1"/>
  <c r="AB58" i="1"/>
  <c r="AB60" i="1"/>
  <c r="AB62" i="1"/>
  <c r="AB64" i="1"/>
  <c r="AB165" i="1"/>
  <c r="AB98" i="1"/>
  <c r="AB149" i="1"/>
  <c r="AB103" i="1"/>
  <c r="AB104" i="1"/>
  <c r="AB105" i="1"/>
  <c r="AZ189" i="1"/>
  <c r="I189" i="1"/>
  <c r="H199" i="1"/>
  <c r="D86" i="17" s="1"/>
  <c r="B86" i="17"/>
  <c r="AF98" i="1"/>
  <c r="AF149" i="1"/>
  <c r="AF129" i="1"/>
  <c r="AF151" i="1"/>
  <c r="AF155" i="1"/>
  <c r="AF156" i="1"/>
  <c r="AF157" i="1"/>
  <c r="AF158" i="1"/>
  <c r="AF160" i="1"/>
  <c r="AF161" i="1"/>
  <c r="AF162" i="1"/>
  <c r="AF163" i="1"/>
  <c r="AF165" i="1"/>
  <c r="AH192" i="1"/>
  <c r="AH98" i="1"/>
  <c r="AH149" i="1"/>
  <c r="AH129" i="1"/>
  <c r="AH151" i="1"/>
  <c r="AH165" i="1"/>
  <c r="AJ192" i="1"/>
  <c r="AJ98" i="1"/>
  <c r="AJ149" i="1"/>
  <c r="AJ129" i="1"/>
  <c r="AJ151" i="1"/>
  <c r="AJ165" i="1"/>
  <c r="AL192" i="1"/>
  <c r="AL98" i="1"/>
  <c r="AL149" i="1"/>
  <c r="AL129" i="1"/>
  <c r="AL151" i="1"/>
  <c r="AL165" i="1"/>
  <c r="AN192" i="1"/>
  <c r="AN98" i="1"/>
  <c r="AN149" i="1"/>
  <c r="AN129" i="1"/>
  <c r="AN151" i="1"/>
  <c r="AN165" i="1"/>
  <c r="AP192" i="1"/>
  <c r="AP98" i="1"/>
  <c r="AP149" i="1"/>
  <c r="AP129" i="1"/>
  <c r="AP151" i="1"/>
  <c r="AP165" i="1"/>
  <c r="AR192" i="1"/>
  <c r="AR98" i="1"/>
  <c r="AR149" i="1"/>
  <c r="AR129" i="1"/>
  <c r="AR151" i="1"/>
  <c r="AR165" i="1"/>
  <c r="AT192" i="1"/>
  <c r="AT98" i="1"/>
  <c r="AT149" i="1"/>
  <c r="AT129" i="1"/>
  <c r="AT151" i="1"/>
  <c r="AT165" i="1"/>
  <c r="AV192" i="1"/>
  <c r="AV98" i="1"/>
  <c r="AV149" i="1"/>
  <c r="AV129" i="1"/>
  <c r="AV151" i="1"/>
  <c r="AV165" i="1"/>
  <c r="AX192" i="1"/>
  <c r="AX98" i="1"/>
  <c r="AX149" i="1"/>
  <c r="AX129" i="1"/>
  <c r="AX151"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F25" i="17"/>
  <c r="J25" i="17"/>
  <c r="N25" i="17"/>
  <c r="X25" i="17"/>
  <c r="F23" i="17"/>
  <c r="H23" i="17"/>
  <c r="R23" i="17"/>
  <c r="T23" i="17"/>
  <c r="V23" i="17"/>
  <c r="F21" i="17"/>
  <c r="H21" i="17"/>
  <c r="J21" i="17"/>
  <c r="L21" i="17"/>
  <c r="N21" i="17"/>
  <c r="P21" i="17"/>
  <c r="R21" i="17"/>
  <c r="C77" i="17"/>
  <c r="X77" i="17" s="1"/>
  <c r="C76" i="17"/>
  <c r="T76" i="17" s="1"/>
  <c r="C75" i="17"/>
  <c r="X75" i="17" s="1"/>
  <c r="C74" i="17"/>
  <c r="V74" i="17" s="1"/>
  <c r="C73" i="17"/>
  <c r="N73" i="17" s="1"/>
  <c r="C35" i="17"/>
  <c r="V35" i="17" s="1"/>
  <c r="C33" i="17"/>
  <c r="X33" i="17" s="1"/>
  <c r="C32" i="17"/>
  <c r="L32" i="17" s="1"/>
  <c r="C31" i="17"/>
  <c r="X31" i="17" s="1"/>
  <c r="V73" i="17"/>
  <c r="M29" i="20"/>
  <c r="L29" i="20"/>
  <c r="K29" i="20"/>
  <c r="J29" i="20"/>
  <c r="I29" i="20"/>
  <c r="H29" i="20"/>
  <c r="G29" i="20"/>
  <c r="F29" i="20"/>
  <c r="E29" i="20"/>
  <c r="D29" i="20"/>
  <c r="M2" i="20"/>
  <c r="L2" i="20"/>
  <c r="K2" i="20"/>
  <c r="J2" i="20"/>
  <c r="I2" i="20"/>
  <c r="H2" i="20"/>
  <c r="G2" i="20"/>
  <c r="F2" i="20"/>
  <c r="E2" i="20"/>
  <c r="D2" i="20"/>
  <c r="P73" i="17"/>
  <c r="N35" i="17"/>
  <c r="C37" i="17"/>
  <c r="N37" i="17" s="1"/>
  <c r="C52" i="17"/>
  <c r="C51" i="17"/>
  <c r="C50" i="17"/>
  <c r="H50" i="17" s="1"/>
  <c r="C49" i="17"/>
  <c r="C48" i="17"/>
  <c r="C47" i="17"/>
  <c r="T47" i="17" s="1"/>
  <c r="C36" i="17"/>
  <c r="F36" i="17" s="1"/>
  <c r="C34" i="17"/>
  <c r="F34" i="17" s="1"/>
  <c r="C30" i="17"/>
  <c r="J30" i="17" s="1"/>
  <c r="C29" i="17"/>
  <c r="T29" i="17" s="1"/>
  <c r="C28" i="17"/>
  <c r="F28" i="17" s="1"/>
  <c r="C79" i="17"/>
  <c r="F79" i="17" s="1"/>
  <c r="C78" i="17"/>
  <c r="C63" i="17"/>
  <c r="C62" i="17"/>
  <c r="M6" i="17"/>
  <c r="M11" i="17"/>
  <c r="M9" i="17"/>
  <c r="M5" i="17"/>
  <c r="C9" i="17"/>
  <c r="E7" i="17"/>
  <c r="E5" i="17"/>
  <c r="E6" i="17"/>
  <c r="E37" i="20"/>
  <c r="E41" i="20"/>
  <c r="E42" i="20"/>
  <c r="E44" i="20"/>
  <c r="E4" i="20"/>
  <c r="E14" i="20"/>
  <c r="E15" i="20"/>
  <c r="E19" i="20"/>
  <c r="F31" i="20"/>
  <c r="F36" i="20"/>
  <c r="F37" i="20"/>
  <c r="F38" i="20"/>
  <c r="F41" i="20"/>
  <c r="F42" i="20"/>
  <c r="F44" i="20"/>
  <c r="F4" i="20"/>
  <c r="F17" i="20"/>
  <c r="F19" i="20"/>
  <c r="F25" i="20"/>
  <c r="G37" i="20"/>
  <c r="G38" i="20"/>
  <c r="G39" i="20"/>
  <c r="G42" i="20"/>
  <c r="G44" i="20"/>
  <c r="G9" i="20"/>
  <c r="G16" i="20"/>
  <c r="G17" i="20"/>
  <c r="G19" i="20"/>
  <c r="H36" i="20"/>
  <c r="H38" i="20"/>
  <c r="H39" i="20"/>
  <c r="H41" i="20"/>
  <c r="H42" i="20"/>
  <c r="H43" i="20"/>
  <c r="H9" i="20"/>
  <c r="H15" i="20"/>
  <c r="H16" i="20"/>
  <c r="H19" i="20"/>
  <c r="I36" i="20"/>
  <c r="I38" i="20"/>
  <c r="I39" i="20"/>
  <c r="I41" i="20"/>
  <c r="I42" i="20"/>
  <c r="I43" i="20"/>
  <c r="I44" i="20"/>
  <c r="I9" i="20"/>
  <c r="I14" i="20"/>
  <c r="I15" i="20"/>
  <c r="J36" i="20"/>
  <c r="J37" i="20"/>
  <c r="J38" i="20"/>
  <c r="J39" i="20"/>
  <c r="J41" i="20"/>
  <c r="J43" i="20"/>
  <c r="J44" i="20"/>
  <c r="J9" i="20"/>
  <c r="J14" i="20"/>
  <c r="J16" i="20"/>
  <c r="J17" i="20"/>
  <c r="K37" i="20"/>
  <c r="K38" i="20"/>
  <c r="K39" i="20"/>
  <c r="K41" i="20"/>
  <c r="K43" i="20"/>
  <c r="K44" i="20"/>
  <c r="K9" i="20"/>
  <c r="K14" i="20"/>
  <c r="K15" i="20"/>
  <c r="K16" i="20"/>
  <c r="K19" i="20"/>
  <c r="L36" i="20"/>
  <c r="L37" i="20"/>
  <c r="L39" i="20"/>
  <c r="L41" i="20"/>
  <c r="L42" i="20"/>
  <c r="L43" i="20"/>
  <c r="L44" i="20"/>
  <c r="L9" i="20"/>
  <c r="L14" i="20"/>
  <c r="L15" i="20"/>
  <c r="L16" i="20"/>
  <c r="L17" i="20"/>
  <c r="L19" i="20"/>
  <c r="M37" i="20"/>
  <c r="M38" i="20"/>
  <c r="M39" i="20"/>
  <c r="M41" i="20"/>
  <c r="M42" i="20"/>
  <c r="M44" i="20"/>
  <c r="M14" i="20"/>
  <c r="M15" i="20"/>
  <c r="M17" i="20"/>
  <c r="M19" i="20"/>
  <c r="AZ192" i="1"/>
  <c r="AZ151" i="1"/>
  <c r="AZ103" i="1"/>
  <c r="L32" i="20"/>
  <c r="E10" i="20"/>
  <c r="L20" i="20"/>
  <c r="D31" i="20"/>
  <c r="D4" i="20"/>
  <c r="D9" i="20"/>
  <c r="D15" i="20"/>
  <c r="D19" i="20"/>
  <c r="AZ205" i="1"/>
  <c r="AZ190" i="1"/>
  <c r="AZ188" i="1"/>
  <c r="AZ187" i="1"/>
  <c r="AZ186" i="1"/>
  <c r="AZ185" i="1"/>
  <c r="AZ184" i="1"/>
  <c r="AZ182" i="1"/>
  <c r="AZ181" i="1"/>
  <c r="AZ180" i="1"/>
  <c r="AZ177" i="1"/>
  <c r="AZ176" i="1"/>
  <c r="AZ174" i="1"/>
  <c r="AZ173" i="1"/>
  <c r="AZ172" i="1"/>
  <c r="AZ171" i="1"/>
  <c r="AZ170" i="1"/>
  <c r="AZ169" i="1"/>
  <c r="AZ165" i="1"/>
  <c r="AZ163" i="1"/>
  <c r="AZ162" i="1"/>
  <c r="AZ161" i="1"/>
  <c r="AZ160" i="1"/>
  <c r="AZ158" i="1"/>
  <c r="AZ157" i="1"/>
  <c r="AZ156" i="1"/>
  <c r="AZ155" i="1"/>
  <c r="AZ149" i="1"/>
  <c r="AZ148" i="1"/>
  <c r="AZ147" i="1"/>
  <c r="AZ146" i="1"/>
  <c r="AZ145" i="1"/>
  <c r="AZ142" i="1"/>
  <c r="AZ141" i="1"/>
  <c r="AZ140" i="1"/>
  <c r="AZ139" i="1"/>
  <c r="AZ136" i="1"/>
  <c r="AZ135" i="1"/>
  <c r="AZ134" i="1"/>
  <c r="AZ133" i="1"/>
  <c r="AZ129" i="1"/>
  <c r="AZ127" i="1"/>
  <c r="AZ124" i="1"/>
  <c r="AZ123" i="1"/>
  <c r="AZ122" i="1"/>
  <c r="AZ121" i="1"/>
  <c r="AZ118" i="1"/>
  <c r="AZ117" i="1"/>
  <c r="AZ116" i="1"/>
  <c r="AZ115" i="1"/>
  <c r="AZ112" i="1"/>
  <c r="AZ111" i="1"/>
  <c r="AZ110" i="1"/>
  <c r="AZ109" i="1"/>
  <c r="AZ106" i="1"/>
  <c r="AZ105" i="1"/>
  <c r="AZ104" i="1"/>
  <c r="AZ98" i="1"/>
  <c r="AZ96" i="1"/>
  <c r="AZ95" i="1"/>
  <c r="AZ94" i="1"/>
  <c r="AZ93" i="1"/>
  <c r="D37" i="20"/>
  <c r="AD155" i="1"/>
  <c r="AD156" i="1"/>
  <c r="D42" i="20"/>
  <c r="AD20" i="17"/>
  <c r="AD26" i="17"/>
  <c r="AD95" i="1"/>
  <c r="AD93" i="1"/>
  <c r="AD94" i="1"/>
  <c r="AD96" i="1"/>
  <c r="AD160" i="1"/>
  <c r="AD157" i="1"/>
  <c r="AD158" i="1"/>
  <c r="AD161" i="1"/>
  <c r="AD163" i="1"/>
  <c r="AD188" i="1"/>
  <c r="AD186" i="1"/>
  <c r="AD185" i="1"/>
  <c r="AD184" i="1"/>
  <c r="AD182" i="1"/>
  <c r="AD181" i="1"/>
  <c r="AD180" i="1"/>
  <c r="AD177" i="1"/>
  <c r="AD176" i="1"/>
  <c r="AD174" i="1"/>
  <c r="AD173" i="1"/>
  <c r="AD172" i="1"/>
  <c r="AD171" i="1"/>
  <c r="AD170" i="1"/>
  <c r="AD169" i="1"/>
  <c r="AD205" i="1"/>
  <c r="B12" i="21"/>
  <c r="A48" i="20"/>
  <c r="D36" i="20"/>
  <c r="D14" i="20"/>
  <c r="C5" i="20"/>
  <c r="C21" i="17"/>
  <c r="A23" i="20"/>
  <c r="A18" i="20"/>
  <c r="A13" i="20"/>
  <c r="A8" i="20"/>
  <c r="A3" i="20"/>
  <c r="A40" i="20"/>
  <c r="A35" i="20"/>
  <c r="A30" i="20"/>
  <c r="A2" i="20"/>
  <c r="A46" i="20"/>
  <c r="A44" i="20"/>
  <c r="B44" i="20"/>
  <c r="A43" i="20"/>
  <c r="C43" i="20"/>
  <c r="B43" i="20"/>
  <c r="A42" i="20"/>
  <c r="C42" i="20"/>
  <c r="B42" i="20"/>
  <c r="A41" i="20"/>
  <c r="B41" i="20"/>
  <c r="A39" i="20"/>
  <c r="B39" i="20"/>
  <c r="A38" i="20"/>
  <c r="C38" i="20"/>
  <c r="B38" i="20"/>
  <c r="A37" i="20"/>
  <c r="C37" i="20"/>
  <c r="B37" i="20"/>
  <c r="A36" i="20"/>
  <c r="B36" i="20"/>
  <c r="A34" i="20"/>
  <c r="B34" i="20"/>
  <c r="A33" i="20"/>
  <c r="C33" i="20"/>
  <c r="B33" i="20"/>
  <c r="A32" i="20"/>
  <c r="C32" i="20"/>
  <c r="B32" i="20"/>
  <c r="A31" i="20"/>
  <c r="B31" i="20"/>
  <c r="A29" i="20"/>
  <c r="A27" i="20"/>
  <c r="A24" i="20"/>
  <c r="B24" i="20"/>
  <c r="A22" i="20"/>
  <c r="B22" i="20"/>
  <c r="A21" i="20"/>
  <c r="C21" i="20"/>
  <c r="B21" i="20"/>
  <c r="A20" i="20"/>
  <c r="C20" i="20"/>
  <c r="B20" i="20"/>
  <c r="A19" i="20"/>
  <c r="B19" i="20"/>
  <c r="A25" i="20"/>
  <c r="C25" i="20"/>
  <c r="B25" i="20"/>
  <c r="A17" i="20"/>
  <c r="B17" i="20"/>
  <c r="A16" i="20"/>
  <c r="C16" i="20"/>
  <c r="B16" i="20"/>
  <c r="A15" i="20"/>
  <c r="C15" i="20"/>
  <c r="B15" i="20"/>
  <c r="A14" i="20"/>
  <c r="B14" i="20"/>
  <c r="A12" i="20"/>
  <c r="B12" i="20"/>
  <c r="A11" i="20"/>
  <c r="C11" i="20"/>
  <c r="B11" i="20"/>
  <c r="A10" i="20"/>
  <c r="C10" i="20"/>
  <c r="B10" i="20"/>
  <c r="A9" i="20"/>
  <c r="B9" i="20"/>
  <c r="A7" i="20"/>
  <c r="B7" i="20"/>
  <c r="A6" i="20"/>
  <c r="B6" i="20"/>
  <c r="A5" i="20"/>
  <c r="B5" i="20"/>
  <c r="A4" i="20"/>
  <c r="B4" i="20"/>
  <c r="N29" i="20"/>
  <c r="N2" i="20"/>
  <c r="AZ26" i="17"/>
  <c r="AZ24" i="17"/>
  <c r="AZ22" i="17"/>
  <c r="AZ20" i="17"/>
  <c r="AZ18" i="17"/>
  <c r="D22" i="1"/>
  <c r="C18" i="17" s="1"/>
  <c r="D24" i="1"/>
  <c r="C20" i="17"/>
  <c r="D26" i="1"/>
  <c r="C22" i="17"/>
  <c r="D28" i="1"/>
  <c r="C24" i="17"/>
  <c r="D30" i="1"/>
  <c r="C26" i="17"/>
  <c r="D32" i="1"/>
  <c r="D34" i="1"/>
  <c r="D36" i="1"/>
  <c r="D38" i="1"/>
  <c r="D40" i="1"/>
  <c r="D42" i="1"/>
  <c r="D44" i="1"/>
  <c r="D46" i="1"/>
  <c r="D48" i="1"/>
  <c r="D49" i="1"/>
  <c r="D51" i="1"/>
  <c r="D52" i="1"/>
  <c r="D54" i="1"/>
  <c r="D55" i="1"/>
  <c r="D57" i="1"/>
  <c r="D58" i="1"/>
  <c r="C72" i="1"/>
  <c r="C73" i="1"/>
  <c r="C74" i="1"/>
  <c r="C75" i="1"/>
  <c r="C76" i="1"/>
  <c r="C77" i="1"/>
  <c r="C78" i="1"/>
  <c r="C79" i="1"/>
  <c r="C80" i="1"/>
  <c r="C81" i="1"/>
  <c r="C82" i="1"/>
  <c r="C83" i="1"/>
  <c r="C84" i="1"/>
  <c r="C85" i="1"/>
  <c r="I190" i="1"/>
  <c r="F35" i="17"/>
  <c r="C57" i="17"/>
  <c r="C87" i="17"/>
  <c r="C25" i="17"/>
  <c r="C23" i="17"/>
  <c r="G36" i="20"/>
  <c r="AD24" i="17"/>
  <c r="H25" i="20"/>
  <c r="H73" i="17"/>
  <c r="L73" i="17"/>
  <c r="H68" i="17"/>
  <c r="D16" i="20"/>
  <c r="F73" i="17"/>
  <c r="D41" i="20"/>
  <c r="J73" i="17"/>
  <c r="J48" i="17"/>
  <c r="AD22" i="17"/>
  <c r="E38" i="20"/>
  <c r="AD162" i="1"/>
  <c r="F77" i="17"/>
  <c r="AD165" i="1"/>
  <c r="D38" i="20"/>
  <c r="E17" i="20"/>
  <c r="D17" i="20"/>
  <c r="D39" i="20"/>
  <c r="D43" i="20"/>
  <c r="D44" i="20"/>
  <c r="K32" i="20"/>
  <c r="L68" i="17"/>
  <c r="L70" i="17" s="1"/>
  <c r="AD98" i="1"/>
  <c r="X48" i="17"/>
  <c r="R57" i="17"/>
  <c r="R59" i="17" s="1"/>
  <c r="R50" i="17"/>
  <c r="R68" i="17"/>
  <c r="R70" i="17" s="1"/>
  <c r="P57" i="17"/>
  <c r="P59" i="17" s="1"/>
  <c r="N57" i="17"/>
  <c r="N59" i="17" s="1"/>
  <c r="N48" i="17"/>
  <c r="M31" i="20"/>
  <c r="L4" i="20"/>
  <c r="L31" i="20"/>
  <c r="K31" i="20"/>
  <c r="J31" i="20"/>
  <c r="I31" i="20"/>
  <c r="H31" i="20"/>
  <c r="G31" i="20"/>
  <c r="J4" i="20"/>
  <c r="I4" i="20"/>
  <c r="G4" i="20"/>
  <c r="J76" i="17"/>
  <c r="J57" i="17"/>
  <c r="J59" i="17" s="1"/>
  <c r="L76" i="17"/>
  <c r="L35" i="17"/>
  <c r="J35" i="17"/>
  <c r="H35" i="17"/>
  <c r="C71" i="1"/>
  <c r="C19" i="17"/>
  <c r="K36" i="20"/>
  <c r="AJ24" i="17"/>
  <c r="M10" i="20"/>
  <c r="K10" i="20"/>
  <c r="I10" i="20"/>
  <c r="D10" i="20"/>
  <c r="L10" i="20"/>
  <c r="J10" i="20"/>
  <c r="H10" i="20"/>
  <c r="I5" i="20"/>
  <c r="J5" i="20"/>
  <c r="M5" i="20"/>
  <c r="H20" i="20"/>
  <c r="F20" i="20"/>
  <c r="K20" i="20"/>
  <c r="G20" i="20"/>
  <c r="J20" i="20"/>
  <c r="D20" i="20"/>
  <c r="M20" i="20"/>
  <c r="I20" i="20"/>
  <c r="M33" i="20"/>
  <c r="J32" i="20"/>
  <c r="I32" i="20"/>
  <c r="M32" i="20"/>
  <c r="AF24" i="17"/>
  <c r="AN24" i="17"/>
  <c r="H44" i="20"/>
  <c r="G43" i="20"/>
  <c r="E39" i="20"/>
  <c r="E31" i="20"/>
  <c r="AF26" i="17"/>
  <c r="F10" i="20"/>
  <c r="G10" i="20"/>
  <c r="F15" i="20"/>
  <c r="AH26" i="17"/>
  <c r="F14" i="20"/>
  <c r="I33" i="20"/>
  <c r="L33" i="20"/>
  <c r="K33" i="20"/>
  <c r="AL24" i="17"/>
  <c r="H45" i="17"/>
  <c r="AH20" i="17"/>
  <c r="F33" i="20"/>
  <c r="H33" i="20"/>
  <c r="G32" i="20"/>
  <c r="E32" i="20"/>
  <c r="D32" i="20"/>
  <c r="F32" i="20"/>
  <c r="H32" i="20"/>
  <c r="D5" i="20"/>
  <c r="F5" i="20"/>
  <c r="G5" i="20"/>
  <c r="F19" i="17"/>
  <c r="AF20" i="17"/>
  <c r="E33" i="20"/>
  <c r="D33" i="20"/>
  <c r="J33" i="20"/>
  <c r="AH22" i="17"/>
  <c r="I11" i="20"/>
  <c r="M11" i="20"/>
  <c r="H11" i="20"/>
  <c r="J11" i="20"/>
  <c r="L11" i="20"/>
  <c r="K6" i="20"/>
  <c r="J6" i="20"/>
  <c r="L6" i="20"/>
  <c r="M6" i="20"/>
  <c r="F21" i="20"/>
  <c r="I21" i="20"/>
  <c r="E21" i="20"/>
  <c r="G21" i="20"/>
  <c r="F34" i="20"/>
  <c r="G33" i="20"/>
  <c r="AF22" i="17"/>
  <c r="AP24" i="17"/>
  <c r="F11" i="20"/>
  <c r="G11" i="20"/>
  <c r="E11" i="20"/>
  <c r="AD104" i="1"/>
  <c r="N5" i="20" s="1"/>
  <c r="Q5" i="20" s="1"/>
  <c r="AH24" i="17"/>
  <c r="J19" i="17"/>
  <c r="I6" i="20"/>
  <c r="P63" i="17"/>
  <c r="J34" i="20"/>
  <c r="I12" i="20"/>
  <c r="K12" i="20"/>
  <c r="M12" i="20"/>
  <c r="H12" i="20"/>
  <c r="J12" i="20"/>
  <c r="L12" i="20"/>
  <c r="K7" i="20"/>
  <c r="J7" i="20"/>
  <c r="I7" i="20"/>
  <c r="J21" i="20"/>
  <c r="K21" i="20"/>
  <c r="D21" i="20"/>
  <c r="M21" i="20"/>
  <c r="G22" i="20"/>
  <c r="H22" i="20"/>
  <c r="L22" i="20"/>
  <c r="E22" i="20"/>
  <c r="F22" i="20"/>
  <c r="M22" i="20"/>
  <c r="J22" i="20"/>
  <c r="L21" i="20"/>
  <c r="AJ26" i="17"/>
  <c r="AJ22" i="17"/>
  <c r="AR24" i="17"/>
  <c r="AJ20" i="17"/>
  <c r="E12" i="20"/>
  <c r="D11" i="20"/>
  <c r="F6" i="20"/>
  <c r="F7" i="20"/>
  <c r="D6" i="20"/>
  <c r="E6" i="20"/>
  <c r="K34" i="20"/>
  <c r="T63" i="17"/>
  <c r="M34" i="20"/>
  <c r="M46" i="20"/>
  <c r="L34" i="20"/>
  <c r="T62" i="17"/>
  <c r="M7" i="20"/>
  <c r="D34" i="20"/>
  <c r="H7" i="20"/>
  <c r="J62" i="17"/>
  <c r="G7" i="20"/>
  <c r="H34" i="20"/>
  <c r="G34" i="20"/>
  <c r="I34" i="20"/>
  <c r="E34" i="20"/>
  <c r="D46" i="20"/>
  <c r="D22" i="20"/>
  <c r="I22" i="20"/>
  <c r="AV24" i="17"/>
  <c r="AT24" i="17"/>
  <c r="AN20" i="17"/>
  <c r="AL26" i="17"/>
  <c r="AN26" i="17"/>
  <c r="AL20" i="17"/>
  <c r="N19" i="17"/>
  <c r="L19" i="17"/>
  <c r="AL22" i="17"/>
  <c r="AN22" i="17"/>
  <c r="D12" i="20"/>
  <c r="D7" i="20"/>
  <c r="I46" i="20"/>
  <c r="AX24" i="17"/>
  <c r="L28" i="17"/>
  <c r="AP22" i="17"/>
  <c r="AP20" i="17"/>
  <c r="CS62" i="1"/>
  <c r="P19" i="17"/>
  <c r="AP26" i="17"/>
  <c r="CS28" i="1"/>
  <c r="N28" i="17"/>
  <c r="AZ62" i="1"/>
  <c r="CS49" i="1"/>
  <c r="AD62" i="1"/>
  <c r="P28" i="17"/>
  <c r="R19" i="17"/>
  <c r="AR22" i="17"/>
  <c r="AZ28" i="1"/>
  <c r="CS40" i="1"/>
  <c r="AR26" i="17"/>
  <c r="AR20" i="17"/>
  <c r="CS60" i="1"/>
  <c r="AZ49" i="1"/>
  <c r="CS57" i="1"/>
  <c r="CS54" i="1"/>
  <c r="CS36" i="1"/>
  <c r="CS55" i="1"/>
  <c r="AT20" i="17"/>
  <c r="AV20" i="17"/>
  <c r="T19" i="17"/>
  <c r="AZ40" i="1"/>
  <c r="CS42" i="1"/>
  <c r="AT26" i="17"/>
  <c r="AV22" i="17"/>
  <c r="AT22" i="17"/>
  <c r="AX22" i="17"/>
  <c r="CS64" i="1"/>
  <c r="AX20" i="17"/>
  <c r="CS48" i="1"/>
  <c r="AZ54" i="1"/>
  <c r="CS30" i="1"/>
  <c r="AV26" i="17"/>
  <c r="AX26" i="17"/>
  <c r="CS58" i="1"/>
  <c r="CS24" i="1"/>
  <c r="AD42" i="1"/>
  <c r="CS34" i="1"/>
  <c r="CS26" i="1"/>
  <c r="AZ42" i="1"/>
  <c r="AZ36" i="1"/>
  <c r="X19" i="17"/>
  <c r="CS44" i="1"/>
  <c r="AZ58" i="1"/>
  <c r="AD55" i="1"/>
  <c r="CS51" i="1"/>
  <c r="AZ55" i="1"/>
  <c r="CS52" i="1"/>
  <c r="AZ24" i="1"/>
  <c r="CS32" i="1"/>
  <c r="AZ30" i="1"/>
  <c r="X30" i="17"/>
  <c r="CS46" i="1"/>
  <c r="CS38" i="1"/>
  <c r="AZ64" i="1"/>
  <c r="AD64" i="1"/>
  <c r="X28" i="17"/>
  <c r="AD52" i="1"/>
  <c r="AZ52" i="1"/>
  <c r="AZ46" i="1"/>
  <c r="AD38" i="1"/>
  <c r="AZ32" i="1"/>
  <c r="P85" i="23" l="1"/>
  <c r="BL22" i="1"/>
  <c r="AH22" i="1" s="1"/>
  <c r="M26" i="23" s="1"/>
  <c r="CB22" i="1"/>
  <c r="AP22" i="1" s="1"/>
  <c r="AP66" i="1" s="1"/>
  <c r="AD18" i="17"/>
  <c r="CI22" i="1"/>
  <c r="CF22" i="1"/>
  <c r="AP18" i="17" s="1"/>
  <c r="AF22" i="1"/>
  <c r="L26" i="23" s="1"/>
  <c r="BP22" i="1"/>
  <c r="BR22" i="1"/>
  <c r="J66" i="1"/>
  <c r="F17" i="17"/>
  <c r="F16" i="17" s="1"/>
  <c r="V22" i="1"/>
  <c r="V66" i="1" s="1"/>
  <c r="B14" i="21"/>
  <c r="AD118" i="1"/>
  <c r="N17" i="20" s="1"/>
  <c r="Q17" i="20" s="1"/>
  <c r="AD121" i="1"/>
  <c r="N19" i="20" s="1"/>
  <c r="Q19" i="20" s="1"/>
  <c r="AD124" i="1"/>
  <c r="N22" i="20" s="1"/>
  <c r="Q22" i="20" s="1"/>
  <c r="P149" i="1"/>
  <c r="P151" i="1" s="1"/>
  <c r="G48" i="20" s="1"/>
  <c r="R62" i="17"/>
  <c r="V129" i="1"/>
  <c r="J27" i="20" s="1"/>
  <c r="X149" i="1"/>
  <c r="AD134" i="1"/>
  <c r="N32" i="20" s="1"/>
  <c r="Q32" i="20" s="1"/>
  <c r="N149" i="1"/>
  <c r="X63" i="17"/>
  <c r="AD105" i="1"/>
  <c r="N6" i="20" s="1"/>
  <c r="Q6" i="20" s="1"/>
  <c r="AD135" i="1"/>
  <c r="N33" i="20" s="1"/>
  <c r="Q33" i="20" s="1"/>
  <c r="AD133" i="1"/>
  <c r="N31" i="20" s="1"/>
  <c r="Q31" i="20" s="1"/>
  <c r="AD145" i="1"/>
  <c r="N41" i="20" s="1"/>
  <c r="Q41" i="20" s="1"/>
  <c r="P129" i="1"/>
  <c r="G27" i="20" s="1"/>
  <c r="AD115" i="1"/>
  <c r="N14" i="20" s="1"/>
  <c r="Q14" i="20" s="1"/>
  <c r="AD146" i="1"/>
  <c r="N42" i="20" s="1"/>
  <c r="Q42" i="20" s="1"/>
  <c r="H4" i="20"/>
  <c r="AD110" i="1"/>
  <c r="N10" i="20" s="1"/>
  <c r="Q10" i="20" s="1"/>
  <c r="AD123" i="1"/>
  <c r="N21" i="20" s="1"/>
  <c r="Q21" i="20" s="1"/>
  <c r="L149" i="1"/>
  <c r="AD148" i="1"/>
  <c r="N44" i="20" s="1"/>
  <c r="Q44" i="20" s="1"/>
  <c r="AB129" i="1"/>
  <c r="M27" i="20" s="1"/>
  <c r="T129" i="1"/>
  <c r="I27" i="20" s="1"/>
  <c r="AD109" i="1"/>
  <c r="N9" i="20" s="1"/>
  <c r="Q9" i="20" s="1"/>
  <c r="AD111" i="1"/>
  <c r="N11" i="20" s="1"/>
  <c r="Q11" i="20" s="1"/>
  <c r="AD116" i="1"/>
  <c r="N15" i="20" s="1"/>
  <c r="Q15" i="20" s="1"/>
  <c r="V149" i="1"/>
  <c r="Z19" i="17"/>
  <c r="AD24" i="1"/>
  <c r="AJ86" i="1"/>
  <c r="AD30" i="1"/>
  <c r="AD28" i="1"/>
  <c r="L36" i="17"/>
  <c r="T82" i="1"/>
  <c r="AR81" i="1"/>
  <c r="AJ75" i="1"/>
  <c r="Z23" i="17"/>
  <c r="Z21" i="17"/>
  <c r="AL79" i="1"/>
  <c r="AH73" i="1"/>
  <c r="M35" i="23" s="1"/>
  <c r="AD127" i="1"/>
  <c r="N25" i="20" s="1"/>
  <c r="Q25" i="20" s="1"/>
  <c r="V62" i="17"/>
  <c r="L62" i="17"/>
  <c r="D25" i="20"/>
  <c r="E25" i="20"/>
  <c r="Z129" i="1"/>
  <c r="L27" i="20" s="1"/>
  <c r="H43" i="17"/>
  <c r="X45" i="17"/>
  <c r="V45" i="17"/>
  <c r="T45" i="17"/>
  <c r="F63" i="17"/>
  <c r="V63" i="17"/>
  <c r="H76" i="17"/>
  <c r="N63" i="17"/>
  <c r="L63" i="17"/>
  <c r="R28" i="17"/>
  <c r="Z28" i="17" s="1"/>
  <c r="H62" i="17"/>
  <c r="J36" i="17"/>
  <c r="F62" i="17"/>
  <c r="H63" i="17"/>
  <c r="R63" i="17"/>
  <c r="H77" i="17"/>
  <c r="L31" i="17"/>
  <c r="R73" i="17"/>
  <c r="AB78" i="1"/>
  <c r="L37" i="17"/>
  <c r="P78" i="1"/>
  <c r="X34" i="17"/>
  <c r="H34" i="17"/>
  <c r="F76" i="17"/>
  <c r="AX78" i="1"/>
  <c r="X37" i="17"/>
  <c r="R37" i="17"/>
  <c r="P37" i="17"/>
  <c r="J28" i="17"/>
  <c r="L77" i="17"/>
  <c r="J37" i="17"/>
  <c r="R76" i="17"/>
  <c r="X78" i="1"/>
  <c r="AL74" i="1"/>
  <c r="V34" i="17"/>
  <c r="F32" i="17"/>
  <c r="P77" i="17"/>
  <c r="R77" i="17"/>
  <c r="Z78" i="1"/>
  <c r="P73" i="1"/>
  <c r="T77" i="17"/>
  <c r="H37" i="17"/>
  <c r="F37" i="17"/>
  <c r="T37" i="17"/>
  <c r="F31" i="17"/>
  <c r="N32" i="17"/>
  <c r="R32" i="17"/>
  <c r="X72" i="1"/>
  <c r="V28" i="17"/>
  <c r="V37" i="17"/>
  <c r="L34" i="17"/>
  <c r="T28" i="17"/>
  <c r="R34" i="17"/>
  <c r="H28" i="17"/>
  <c r="J31" i="17"/>
  <c r="H31" i="17"/>
  <c r="V78" i="1"/>
  <c r="T78" i="1"/>
  <c r="N78" i="1"/>
  <c r="P85" i="1"/>
  <c r="AV78" i="1"/>
  <c r="C69" i="1"/>
  <c r="J45" i="17"/>
  <c r="L57" i="17"/>
  <c r="L59" i="17" s="1"/>
  <c r="P50" i="17"/>
  <c r="T57" i="17"/>
  <c r="T59" i="17" s="1"/>
  <c r="X50" i="17"/>
  <c r="N50" i="17"/>
  <c r="L43" i="17"/>
  <c r="N68" i="17"/>
  <c r="N70" i="17" s="1"/>
  <c r="R48" i="17"/>
  <c r="X57" i="17"/>
  <c r="X59" i="17" s="1"/>
  <c r="L48" i="17"/>
  <c r="J43" i="17"/>
  <c r="P45" i="17"/>
  <c r="P68" i="17"/>
  <c r="P70" i="17" s="1"/>
  <c r="X68" i="17"/>
  <c r="X70" i="17" s="1"/>
  <c r="F43" i="17"/>
  <c r="N45" i="17"/>
  <c r="F57" i="17"/>
  <c r="F59" i="17" s="1"/>
  <c r="T48" i="17"/>
  <c r="T68" i="17"/>
  <c r="T70" i="17" s="1"/>
  <c r="X47" i="17"/>
  <c r="F45" i="17"/>
  <c r="H69" i="1"/>
  <c r="AF69" i="1" s="1"/>
  <c r="L27" i="23" s="1"/>
  <c r="T50" i="17"/>
  <c r="V57" i="17"/>
  <c r="V59" i="17" s="1"/>
  <c r="J68" i="17"/>
  <c r="J70" i="17" s="1"/>
  <c r="L47" i="17"/>
  <c r="L45" i="17"/>
  <c r="F50" i="17"/>
  <c r="H57" i="17"/>
  <c r="H59" i="17" s="1"/>
  <c r="P48" i="17"/>
  <c r="V48" i="17"/>
  <c r="V68" i="17"/>
  <c r="V70" i="17" s="1"/>
  <c r="F68" i="17"/>
  <c r="F70" i="17" s="1"/>
  <c r="H48" i="17"/>
  <c r="X73" i="1"/>
  <c r="T74" i="1"/>
  <c r="Z79" i="1"/>
  <c r="N29" i="17"/>
  <c r="J74" i="17"/>
  <c r="J47" i="17"/>
  <c r="J32" i="17"/>
  <c r="P74" i="17"/>
  <c r="R35" i="17"/>
  <c r="AL86" i="1"/>
  <c r="R47" i="17"/>
  <c r="P76" i="17"/>
  <c r="V76" i="17"/>
  <c r="X76" i="17"/>
  <c r="L74" i="17"/>
  <c r="H29" i="17"/>
  <c r="L29" i="17"/>
  <c r="N47" i="17"/>
  <c r="V47" i="17"/>
  <c r="H47" i="17"/>
  <c r="H74" i="17"/>
  <c r="N74" i="17"/>
  <c r="T31" i="17"/>
  <c r="P29" i="17"/>
  <c r="F29" i="17"/>
  <c r="F74" i="17"/>
  <c r="F47" i="17"/>
  <c r="J77" i="17"/>
  <c r="N76" i="17"/>
  <c r="T74" i="17"/>
  <c r="X29" i="17"/>
  <c r="R29" i="17"/>
  <c r="J29" i="17"/>
  <c r="V29" i="17"/>
  <c r="P47" i="17"/>
  <c r="P35" i="17"/>
  <c r="P31" i="17"/>
  <c r="T35" i="17"/>
  <c r="H79" i="17"/>
  <c r="H78" i="17" s="1"/>
  <c r="J50" i="17"/>
  <c r="X35" i="17"/>
  <c r="H75" i="17"/>
  <c r="R31" i="17"/>
  <c r="F65" i="17"/>
  <c r="F30" i="17"/>
  <c r="N75" i="17"/>
  <c r="N84" i="1"/>
  <c r="N71" i="1"/>
  <c r="V30" i="17"/>
  <c r="R30" i="17"/>
  <c r="P34" i="17"/>
  <c r="V50" i="17"/>
  <c r="F75" i="17"/>
  <c r="L50" i="17"/>
  <c r="F78" i="17"/>
  <c r="P75" i="17"/>
  <c r="R33" i="17"/>
  <c r="T32" i="17"/>
  <c r="V31" i="17"/>
  <c r="V77" i="17"/>
  <c r="J79" i="17"/>
  <c r="J78" i="17" s="1"/>
  <c r="V75" i="17"/>
  <c r="T30" i="17"/>
  <c r="N34" i="17"/>
  <c r="J34" i="17"/>
  <c r="J75" i="17"/>
  <c r="N31" i="17"/>
  <c r="N77" i="17"/>
  <c r="T33" i="17"/>
  <c r="V32" i="17"/>
  <c r="X73" i="17"/>
  <c r="Z73" i="17" s="1"/>
  <c r="AB84" i="1"/>
  <c r="R84" i="1"/>
  <c r="L33" i="17"/>
  <c r="V33" i="17"/>
  <c r="Z84" i="1"/>
  <c r="P79" i="17"/>
  <c r="P78" i="17" s="1"/>
  <c r="F33" i="17"/>
  <c r="H30" i="17"/>
  <c r="P30" i="17"/>
  <c r="N30" i="17"/>
  <c r="Z36" i="17"/>
  <c r="H33" i="17"/>
  <c r="F48" i="17"/>
  <c r="L75" i="17"/>
  <c r="J33" i="17"/>
  <c r="H32" i="17"/>
  <c r="N33" i="17"/>
  <c r="P32" i="17"/>
  <c r="R74" i="17"/>
  <c r="T73" i="17"/>
  <c r="X32" i="17"/>
  <c r="X74" i="17"/>
  <c r="V84" i="1"/>
  <c r="L71" i="1"/>
  <c r="AH84" i="1"/>
  <c r="P33" i="17"/>
  <c r="R75" i="17"/>
  <c r="X84" i="1"/>
  <c r="L84" i="1"/>
  <c r="P84" i="1"/>
  <c r="P71" i="1"/>
  <c r="AX84" i="1"/>
  <c r="T34" i="17"/>
  <c r="L30" i="17"/>
  <c r="T65" i="17"/>
  <c r="T75" i="17"/>
  <c r="T84" i="1"/>
  <c r="H65" i="17"/>
  <c r="J151" i="1"/>
  <c r="D48" i="20" s="1"/>
  <c r="D27" i="20"/>
  <c r="AD106" i="1"/>
  <c r="N7" i="20" s="1"/>
  <c r="Q7" i="20" s="1"/>
  <c r="AB151" i="1"/>
  <c r="M48" i="20" s="1"/>
  <c r="T151" i="1"/>
  <c r="I48" i="20" s="1"/>
  <c r="L129" i="1"/>
  <c r="L151" i="1" s="1"/>
  <c r="N129" i="1"/>
  <c r="F27" i="20" s="1"/>
  <c r="AV71" i="1"/>
  <c r="AT78" i="1"/>
  <c r="R79" i="1"/>
  <c r="V82" i="1"/>
  <c r="AN70" i="1"/>
  <c r="P29" i="23" s="1"/>
  <c r="X81" i="1"/>
  <c r="V70" i="1"/>
  <c r="X76" i="1"/>
  <c r="T80" i="1"/>
  <c r="Z70" i="1"/>
  <c r="N70" i="1"/>
  <c r="AH77" i="1"/>
  <c r="T70" i="1"/>
  <c r="AX70" i="1"/>
  <c r="AV84" i="1"/>
  <c r="AL70" i="1"/>
  <c r="O29" i="23" s="1"/>
  <c r="X77" i="1"/>
  <c r="L83" i="1"/>
  <c r="AR84" i="1"/>
  <c r="AL77" i="1"/>
  <c r="L77" i="1"/>
  <c r="L70" i="1"/>
  <c r="AP85" i="1"/>
  <c r="AP84" i="1"/>
  <c r="AP71" i="1"/>
  <c r="AJ84" i="1"/>
  <c r="AH83" i="1"/>
  <c r="X82" i="1"/>
  <c r="AV70" i="1"/>
  <c r="AT84" i="1"/>
  <c r="AT70" i="1"/>
  <c r="AR70" i="1"/>
  <c r="AN84" i="1"/>
  <c r="AJ78" i="1"/>
  <c r="AF84" i="1"/>
  <c r="AF71" i="1"/>
  <c r="L31" i="23" s="1"/>
  <c r="X70" i="1"/>
  <c r="R70" i="1"/>
  <c r="AB70" i="1"/>
  <c r="V83" i="1"/>
  <c r="R77" i="1"/>
  <c r="P70" i="1"/>
  <c r="AX83" i="1"/>
  <c r="AP70" i="1"/>
  <c r="AJ70" i="1"/>
  <c r="N29" i="23" s="1"/>
  <c r="AH70" i="1"/>
  <c r="M29" i="23" s="1"/>
  <c r="AF70" i="1"/>
  <c r="L29" i="23" s="1"/>
  <c r="AL84" i="1"/>
  <c r="AT80" i="1"/>
  <c r="AX80" i="1"/>
  <c r="P76" i="1"/>
  <c r="AB76" i="1"/>
  <c r="Z80" i="1"/>
  <c r="Z74" i="1"/>
  <c r="R80" i="1"/>
  <c r="AL81" i="1"/>
  <c r="AL80" i="1"/>
  <c r="AL75" i="1"/>
  <c r="L75" i="1"/>
  <c r="N81" i="1"/>
  <c r="N75" i="1"/>
  <c r="P81" i="1"/>
  <c r="AR74" i="1"/>
  <c r="AP80" i="1"/>
  <c r="L81" i="1"/>
  <c r="N80" i="1"/>
  <c r="V81" i="1"/>
  <c r="L80" i="1"/>
  <c r="L74" i="1"/>
  <c r="AV80" i="1"/>
  <c r="Z81" i="1"/>
  <c r="Z76" i="1"/>
  <c r="X74" i="1"/>
  <c r="T81" i="1"/>
  <c r="R81" i="1"/>
  <c r="R75" i="1"/>
  <c r="L85" i="1"/>
  <c r="AX86" i="1"/>
  <c r="AX81" i="1"/>
  <c r="AX76" i="1"/>
  <c r="AJ77" i="1"/>
  <c r="J81" i="1"/>
  <c r="F49" i="17" s="1"/>
  <c r="N86" i="1"/>
  <c r="J52" i="17" s="1"/>
  <c r="P86" i="1"/>
  <c r="L52" i="17" s="1"/>
  <c r="AR76" i="1"/>
  <c r="AP81" i="1"/>
  <c r="AP86" i="1"/>
  <c r="AJ81" i="1"/>
  <c r="AH81" i="1"/>
  <c r="J75" i="1"/>
  <c r="AV76" i="1"/>
  <c r="AB85" i="1"/>
  <c r="AB81" i="1"/>
  <c r="AB75" i="1"/>
  <c r="V80" i="1"/>
  <c r="V74" i="1"/>
  <c r="L79" i="1"/>
  <c r="P80" i="1"/>
  <c r="AT71" i="1"/>
  <c r="AP76" i="1"/>
  <c r="AN85" i="1"/>
  <c r="AJ85" i="1"/>
  <c r="AF81" i="1"/>
  <c r="AB74" i="1"/>
  <c r="X80" i="1"/>
  <c r="X75" i="1"/>
  <c r="P74" i="1"/>
  <c r="AX74" i="1"/>
  <c r="AT75" i="1"/>
  <c r="AR85" i="1"/>
  <c r="AN81" i="1"/>
  <c r="AJ80" i="1"/>
  <c r="AH76" i="1"/>
  <c r="AB80" i="1"/>
  <c r="V79" i="1"/>
  <c r="T85" i="1"/>
  <c r="T76" i="1"/>
  <c r="R86" i="1"/>
  <c r="N52" i="17" s="1"/>
  <c r="L86" i="1"/>
  <c r="H52" i="17" s="1"/>
  <c r="AT81" i="1"/>
  <c r="AT79" i="1"/>
  <c r="AT76" i="1"/>
  <c r="AR80" i="1"/>
  <c r="AN80" i="1"/>
  <c r="AF85" i="1"/>
  <c r="AF80" i="1"/>
  <c r="Z72" i="1"/>
  <c r="V85" i="1"/>
  <c r="V77" i="1"/>
  <c r="T77" i="1"/>
  <c r="T71" i="1"/>
  <c r="N85" i="1"/>
  <c r="N77" i="1"/>
  <c r="P72" i="1"/>
  <c r="AX71" i="1"/>
  <c r="AV77" i="1"/>
  <c r="AR77" i="1"/>
  <c r="AJ71" i="1"/>
  <c r="N31" i="23" s="1"/>
  <c r="J86" i="1"/>
  <c r="F52" i="17" s="1"/>
  <c r="Z85" i="1"/>
  <c r="Z77" i="1"/>
  <c r="V46" i="17" s="1"/>
  <c r="Z71" i="1"/>
  <c r="X71" i="1"/>
  <c r="V71" i="1"/>
  <c r="R71" i="1"/>
  <c r="P77" i="1"/>
  <c r="AX77" i="1"/>
  <c r="AV85" i="1"/>
  <c r="AV79" i="1"/>
  <c r="AT85" i="1"/>
  <c r="AN77" i="1"/>
  <c r="AB77" i="1"/>
  <c r="AB71" i="1"/>
  <c r="R85" i="1"/>
  <c r="AX85" i="1"/>
  <c r="AX82" i="1"/>
  <c r="AX79" i="1"/>
  <c r="AT77" i="1"/>
  <c r="AL85" i="1"/>
  <c r="AL83" i="1"/>
  <c r="AL73" i="1"/>
  <c r="O35" i="23" s="1"/>
  <c r="AL71" i="1"/>
  <c r="O31" i="23" s="1"/>
  <c r="AF79" i="1"/>
  <c r="T83" i="1"/>
  <c r="T79" i="1"/>
  <c r="N79" i="1"/>
  <c r="AV83" i="1"/>
  <c r="AP77" i="1"/>
  <c r="AL72" i="1"/>
  <c r="O33" i="23" s="1"/>
  <c r="AJ79" i="1"/>
  <c r="AH85" i="1"/>
  <c r="AF77" i="1"/>
  <c r="AB82" i="1"/>
  <c r="Z75" i="1"/>
  <c r="V75" i="1"/>
  <c r="T75" i="1"/>
  <c r="R78" i="1"/>
  <c r="P75" i="1"/>
  <c r="AV86" i="1"/>
  <c r="AV82" i="1"/>
  <c r="AV81" i="1"/>
  <c r="AV74" i="1"/>
  <c r="AT83" i="1"/>
  <c r="AR71" i="1"/>
  <c r="AR78" i="1"/>
  <c r="AR75" i="1"/>
  <c r="AH86" i="1"/>
  <c r="AH82" i="1"/>
  <c r="AH80" i="1"/>
  <c r="AH78" i="1"/>
  <c r="AH71" i="1"/>
  <c r="M31" i="23" s="1"/>
  <c r="AF86" i="1"/>
  <c r="AF82" i="1"/>
  <c r="AJ83" i="1"/>
  <c r="J82" i="1"/>
  <c r="J78" i="1"/>
  <c r="AL82" i="1"/>
  <c r="AL78" i="1"/>
  <c r="AJ74" i="1"/>
  <c r="AH74" i="1"/>
  <c r="L78" i="1"/>
  <c r="AT82" i="1"/>
  <c r="AT74" i="1"/>
  <c r="AR82" i="1"/>
  <c r="AN74" i="1"/>
  <c r="AJ73" i="1"/>
  <c r="N35" i="23" s="1"/>
  <c r="R83" i="1"/>
  <c r="R74" i="1"/>
  <c r="P82" i="1"/>
  <c r="AP74" i="1"/>
  <c r="AN72" i="1"/>
  <c r="P33" i="23" s="1"/>
  <c r="AN86" i="1"/>
  <c r="AN83" i="1"/>
  <c r="AN82" i="1"/>
  <c r="AN78" i="1"/>
  <c r="AN73" i="1"/>
  <c r="P35" i="23" s="1"/>
  <c r="AN71" i="1"/>
  <c r="P31" i="23" s="1"/>
  <c r="AN75" i="1"/>
  <c r="AH75" i="1"/>
  <c r="AF83" i="1"/>
  <c r="N83" i="1"/>
  <c r="N74" i="1"/>
  <c r="AX75" i="1"/>
  <c r="AV75" i="1"/>
  <c r="AP83" i="1"/>
  <c r="AP82" i="1"/>
  <c r="AP78" i="1"/>
  <c r="AP73" i="1"/>
  <c r="AP75" i="1"/>
  <c r="AF74" i="1"/>
  <c r="AB72" i="1"/>
  <c r="V86" i="1"/>
  <c r="R52" i="17" s="1"/>
  <c r="T72" i="1"/>
  <c r="R76" i="1"/>
  <c r="L76" i="1"/>
  <c r="AV72" i="1"/>
  <c r="AR86" i="1"/>
  <c r="AR83" i="1"/>
  <c r="AR73" i="1"/>
  <c r="AP72" i="1"/>
  <c r="AH72" i="1"/>
  <c r="M33" i="23" s="1"/>
  <c r="J73" i="1"/>
  <c r="J83" i="1"/>
  <c r="J79" i="1"/>
  <c r="J76" i="1"/>
  <c r="J72" i="1"/>
  <c r="AB86" i="1"/>
  <c r="X52" i="17" s="1"/>
  <c r="AB79" i="1"/>
  <c r="Z83" i="1"/>
  <c r="X86" i="1"/>
  <c r="T52" i="17" s="1"/>
  <c r="T86" i="1"/>
  <c r="P52" i="17" s="1"/>
  <c r="R82" i="1"/>
  <c r="L82" i="1"/>
  <c r="N82" i="1"/>
  <c r="N72" i="1"/>
  <c r="AX73" i="1"/>
  <c r="AN76" i="1"/>
  <c r="AL76" i="1"/>
  <c r="AJ72" i="1"/>
  <c r="N33" i="23" s="1"/>
  <c r="AH79" i="1"/>
  <c r="AF73" i="1"/>
  <c r="L35" i="23" s="1"/>
  <c r="AB83" i="1"/>
  <c r="AB73" i="1"/>
  <c r="Z86" i="1"/>
  <c r="V52" i="17" s="1"/>
  <c r="Z82" i="1"/>
  <c r="X83" i="1"/>
  <c r="V72" i="1"/>
  <c r="R73" i="1"/>
  <c r="L73" i="1"/>
  <c r="N76" i="1"/>
  <c r="AX72" i="1"/>
  <c r="AT73" i="1"/>
  <c r="AR79" i="1"/>
  <c r="AP79" i="1"/>
  <c r="AJ82" i="1"/>
  <c r="Z73" i="1"/>
  <c r="X79" i="1"/>
  <c r="V76" i="1"/>
  <c r="T73" i="1"/>
  <c r="R72" i="1"/>
  <c r="L72" i="1"/>
  <c r="P79" i="1"/>
  <c r="AV73" i="1"/>
  <c r="AT72" i="1"/>
  <c r="AT86" i="1"/>
  <c r="AR72" i="1"/>
  <c r="AN79" i="1"/>
  <c r="AJ76" i="1"/>
  <c r="L192" i="1"/>
  <c r="AD187" i="1"/>
  <c r="F81" i="17"/>
  <c r="J192" i="1"/>
  <c r="E46" i="20"/>
  <c r="J46" i="20"/>
  <c r="V151" i="1"/>
  <c r="J48" i="20" s="1"/>
  <c r="G46" i="20"/>
  <c r="K46" i="20"/>
  <c r="F46" i="20"/>
  <c r="Q40" i="20"/>
  <c r="AD103" i="1"/>
  <c r="N4" i="20" s="1"/>
  <c r="Q4" i="20" s="1"/>
  <c r="X62" i="17"/>
  <c r="X65" i="17" s="1"/>
  <c r="Q24" i="20"/>
  <c r="P62" i="17"/>
  <c r="P65" i="17" s="1"/>
  <c r="L46" i="20"/>
  <c r="J63" i="17"/>
  <c r="J65" i="17" s="1"/>
  <c r="M4" i="20"/>
  <c r="F9" i="20"/>
  <c r="E9" i="20"/>
  <c r="AD122" i="1"/>
  <c r="N20" i="20" s="1"/>
  <c r="Q20" i="20" s="1"/>
  <c r="AD136" i="1"/>
  <c r="N34" i="20" s="1"/>
  <c r="Q34" i="20" s="1"/>
  <c r="AD117" i="1"/>
  <c r="N16" i="20" s="1"/>
  <c r="Q16" i="20" s="1"/>
  <c r="AD139" i="1"/>
  <c r="N36" i="20" s="1"/>
  <c r="Q36" i="20" s="1"/>
  <c r="AD147" i="1"/>
  <c r="N43" i="20" s="1"/>
  <c r="Q43" i="20" s="1"/>
  <c r="G6" i="20"/>
  <c r="H17" i="20"/>
  <c r="X129" i="1"/>
  <c r="K27" i="20" s="1"/>
  <c r="R149" i="1"/>
  <c r="AD140" i="1"/>
  <c r="N37" i="20" s="1"/>
  <c r="Q37" i="20" s="1"/>
  <c r="N62" i="17"/>
  <c r="P190" i="1"/>
  <c r="R190" i="1" s="1"/>
  <c r="N192" i="1"/>
  <c r="V189" i="1"/>
  <c r="P189" i="1"/>
  <c r="T192" i="1"/>
  <c r="H70" i="17"/>
  <c r="H25" i="17"/>
  <c r="Z25" i="17" s="1"/>
  <c r="AH66" i="1" l="1"/>
  <c r="AF18" i="17"/>
  <c r="L22" i="1"/>
  <c r="AF66" i="1"/>
  <c r="AN18" i="17"/>
  <c r="T22" i="1"/>
  <c r="R17" i="17"/>
  <c r="R16" i="17" s="1"/>
  <c r="AR22" i="1"/>
  <c r="AR66" i="1" s="1"/>
  <c r="CM22" i="1"/>
  <c r="CJ22" i="1"/>
  <c r="BT22" i="1"/>
  <c r="BV22" i="1"/>
  <c r="BX22" i="1" s="1"/>
  <c r="AH18" i="17"/>
  <c r="N22" i="1"/>
  <c r="N69" i="1" s="1"/>
  <c r="N88" i="1" s="1"/>
  <c r="AJ22" i="1"/>
  <c r="Q33" i="23"/>
  <c r="Q35" i="23"/>
  <c r="Q31" i="23"/>
  <c r="Q29" i="23"/>
  <c r="AD149" i="1"/>
  <c r="N46" i="20" s="1"/>
  <c r="Q46" i="20" s="1"/>
  <c r="Q13" i="20"/>
  <c r="Q30" i="20"/>
  <c r="N65" i="17"/>
  <c r="R65" i="17"/>
  <c r="Q23" i="20"/>
  <c r="AD190" i="1"/>
  <c r="Z37" i="17"/>
  <c r="L65" i="17"/>
  <c r="V65" i="17"/>
  <c r="N151" i="1"/>
  <c r="F48" i="20" s="1"/>
  <c r="Z151" i="1"/>
  <c r="L48" i="20" s="1"/>
  <c r="T69" i="1"/>
  <c r="P42" i="17" s="1"/>
  <c r="L27" i="17"/>
  <c r="Z31" i="17"/>
  <c r="H27" i="17"/>
  <c r="V69" i="1"/>
  <c r="V88" i="1" s="1"/>
  <c r="V90" i="1" s="1"/>
  <c r="Z43" i="17"/>
  <c r="J69" i="1"/>
  <c r="J88" i="1" s="1"/>
  <c r="J90" i="1" s="1"/>
  <c r="AH69" i="1"/>
  <c r="H81" i="17"/>
  <c r="Z29" i="17"/>
  <c r="Z45" i="17"/>
  <c r="Z48" i="17"/>
  <c r="AR69" i="1"/>
  <c r="AR88" i="1" s="1"/>
  <c r="AR90" i="1" s="1"/>
  <c r="Z57" i="17"/>
  <c r="Z59" i="17"/>
  <c r="Z68" i="17"/>
  <c r="AP69" i="1"/>
  <c r="AP88" i="1" s="1"/>
  <c r="AP90" i="1" s="1"/>
  <c r="Z77" i="17"/>
  <c r="Z76" i="17"/>
  <c r="Z47" i="17"/>
  <c r="P49" i="17"/>
  <c r="T51" i="17"/>
  <c r="Z74" i="17"/>
  <c r="P81" i="17"/>
  <c r="Z50" i="17"/>
  <c r="Z32" i="17"/>
  <c r="N27" i="17"/>
  <c r="P27" i="17"/>
  <c r="X27" i="17"/>
  <c r="R27" i="17"/>
  <c r="J27" i="17"/>
  <c r="N49" i="17"/>
  <c r="Z35" i="17"/>
  <c r="L46" i="17"/>
  <c r="Z75" i="17"/>
  <c r="V27" i="17"/>
  <c r="V49" i="17"/>
  <c r="AD84" i="1"/>
  <c r="H51" i="17"/>
  <c r="T27" i="17"/>
  <c r="L51" i="17"/>
  <c r="J81" i="17"/>
  <c r="Z33" i="17"/>
  <c r="Z30" i="17"/>
  <c r="Z34" i="17"/>
  <c r="F27" i="17"/>
  <c r="F39" i="17" s="1"/>
  <c r="Q3" i="20"/>
  <c r="E27" i="20"/>
  <c r="AD129" i="1"/>
  <c r="N27" i="20" s="1"/>
  <c r="Q2" i="20" s="1"/>
  <c r="N46" i="17"/>
  <c r="T49" i="17"/>
  <c r="P44" i="17"/>
  <c r="X49" i="17"/>
  <c r="J46" i="17"/>
  <c r="R46" i="17"/>
  <c r="X46" i="17"/>
  <c r="L49" i="17"/>
  <c r="AD70" i="1"/>
  <c r="AZ70" i="1"/>
  <c r="V51" i="17"/>
  <c r="H44" i="17"/>
  <c r="H46" i="17"/>
  <c r="AD85" i="1"/>
  <c r="AD81" i="1"/>
  <c r="AZ84" i="1"/>
  <c r="R51" i="17"/>
  <c r="T46" i="17"/>
  <c r="AZ80" i="1"/>
  <c r="X44" i="17"/>
  <c r="J44" i="17"/>
  <c r="V44" i="17"/>
  <c r="AZ76" i="1"/>
  <c r="AD80" i="1"/>
  <c r="T44" i="17"/>
  <c r="AZ75" i="1"/>
  <c r="H49" i="17"/>
  <c r="AZ81" i="1"/>
  <c r="R49" i="17"/>
  <c r="R44" i="17"/>
  <c r="P46" i="17"/>
  <c r="J49" i="17"/>
  <c r="J51" i="17"/>
  <c r="F51" i="17"/>
  <c r="L44" i="17"/>
  <c r="P51" i="17"/>
  <c r="AD78" i="1"/>
  <c r="AD71" i="1"/>
  <c r="N44" i="17"/>
  <c r="AZ74" i="1"/>
  <c r="AZ85" i="1"/>
  <c r="X51" i="17"/>
  <c r="N51" i="17"/>
  <c r="AZ86" i="1"/>
  <c r="AZ77" i="1"/>
  <c r="AD77" i="1"/>
  <c r="AZ83" i="1"/>
  <c r="Z52" i="17"/>
  <c r="AD75" i="1"/>
  <c r="AZ71" i="1"/>
  <c r="AD74" i="1"/>
  <c r="AD86" i="1"/>
  <c r="AD76" i="1"/>
  <c r="AZ78" i="1"/>
  <c r="AZ82" i="1"/>
  <c r="AD82" i="1"/>
  <c r="F46" i="17"/>
  <c r="AD79" i="1"/>
  <c r="AD73" i="1"/>
  <c r="AF88" i="1"/>
  <c r="AD83" i="1"/>
  <c r="AZ79" i="1"/>
  <c r="AZ72" i="1"/>
  <c r="AD72" i="1"/>
  <c r="F44" i="17"/>
  <c r="AZ73" i="1"/>
  <c r="Z63" i="17"/>
  <c r="H46" i="20"/>
  <c r="R151" i="1"/>
  <c r="H48" i="20" s="1"/>
  <c r="Q8" i="20"/>
  <c r="Z62" i="17"/>
  <c r="X151" i="1"/>
  <c r="K48" i="20" s="1"/>
  <c r="Q35" i="20"/>
  <c r="E48" i="20"/>
  <c r="Q18" i="20"/>
  <c r="V192" i="1"/>
  <c r="X189" i="1"/>
  <c r="R79" i="17"/>
  <c r="R78" i="17" s="1"/>
  <c r="R81" i="17" s="1"/>
  <c r="R189" i="1"/>
  <c r="P192" i="1"/>
  <c r="L79" i="17"/>
  <c r="Z70" i="17"/>
  <c r="H17" i="17" l="1"/>
  <c r="H16" i="17" s="1"/>
  <c r="L69" i="1"/>
  <c r="L88" i="1" s="1"/>
  <c r="L66" i="1"/>
  <c r="P17" i="17"/>
  <c r="P16" i="17" s="1"/>
  <c r="P39" i="17" s="1"/>
  <c r="T66" i="1"/>
  <c r="R39" i="17"/>
  <c r="AR18" i="17"/>
  <c r="X22" i="1"/>
  <c r="AT22" i="1"/>
  <c r="CQ22" i="1"/>
  <c r="CR22" i="1" s="1"/>
  <c r="CN22" i="1"/>
  <c r="AJ66" i="1"/>
  <c r="N26" i="23"/>
  <c r="J17" i="17"/>
  <c r="N66" i="1"/>
  <c r="N194" i="1" s="1"/>
  <c r="N198" i="1" s="1"/>
  <c r="N200" i="1" s="1"/>
  <c r="P22" i="1"/>
  <c r="AJ18" i="17"/>
  <c r="AL22" i="1"/>
  <c r="AJ69" i="1"/>
  <c r="N27" i="23" s="1"/>
  <c r="AL18" i="17"/>
  <c r="R22" i="1"/>
  <c r="AN22" i="1"/>
  <c r="F42" i="17"/>
  <c r="F54" i="17" s="1"/>
  <c r="F83" i="17" s="1"/>
  <c r="T88" i="1"/>
  <c r="R42" i="17"/>
  <c r="R54" i="17" s="1"/>
  <c r="AH88" i="1"/>
  <c r="AH194" i="1" s="1"/>
  <c r="AH198" i="1" s="1"/>
  <c r="AH197" i="1" s="1"/>
  <c r="M27" i="23"/>
  <c r="Q29" i="20"/>
  <c r="Z65" i="17"/>
  <c r="Q27" i="20"/>
  <c r="J42" i="17"/>
  <c r="J54" i="17" s="1"/>
  <c r="Z27" i="17"/>
  <c r="Z49" i="17"/>
  <c r="Z46" i="17"/>
  <c r="P54" i="17"/>
  <c r="Z51" i="17"/>
  <c r="Z44" i="17"/>
  <c r="V194" i="1"/>
  <c r="V198" i="1" s="1"/>
  <c r="AP194" i="1"/>
  <c r="AP198" i="1" s="1"/>
  <c r="AP200" i="1" s="1"/>
  <c r="AP202" i="1" s="1"/>
  <c r="P91" i="17" s="1"/>
  <c r="AR194" i="1"/>
  <c r="AF90" i="1"/>
  <c r="AF194" i="1"/>
  <c r="AF198" i="1" s="1"/>
  <c r="AF200" i="1" s="1"/>
  <c r="AF202" i="1" s="1"/>
  <c r="J194" i="1"/>
  <c r="R1" i="20"/>
  <c r="Q1" i="20" s="1"/>
  <c r="AD151" i="1"/>
  <c r="N48" i="20" s="1"/>
  <c r="Q48" i="20" s="1"/>
  <c r="L78" i="17"/>
  <c r="R192" i="1"/>
  <c r="N79" i="17"/>
  <c r="N78" i="17" s="1"/>
  <c r="N81" i="17" s="1"/>
  <c r="Z189" i="1"/>
  <c r="X192" i="1"/>
  <c r="T79" i="17"/>
  <c r="T78" i="17" s="1"/>
  <c r="T81" i="17" s="1"/>
  <c r="H39" i="17"/>
  <c r="R83" i="17" l="1"/>
  <c r="T194" i="1"/>
  <c r="T198" i="1" s="1"/>
  <c r="P86" i="17" s="1"/>
  <c r="L194" i="1"/>
  <c r="L198" i="1" s="1"/>
  <c r="L197" i="1" s="1"/>
  <c r="H42" i="17"/>
  <c r="H54" i="17" s="1"/>
  <c r="H83" i="17" s="1"/>
  <c r="L90" i="1"/>
  <c r="P83" i="17"/>
  <c r="AV18" i="17"/>
  <c r="AB22" i="1"/>
  <c r="AX22" i="1"/>
  <c r="N90" i="1"/>
  <c r="AT66" i="1"/>
  <c r="AT69" i="1"/>
  <c r="AT88" i="1" s="1"/>
  <c r="T17" i="17"/>
  <c r="T16" i="17" s="1"/>
  <c r="T39" i="17" s="1"/>
  <c r="X66" i="1"/>
  <c r="X69" i="1"/>
  <c r="Z22" i="1"/>
  <c r="AT18" i="17"/>
  <c r="AV22" i="1"/>
  <c r="CS22" i="1"/>
  <c r="O26" i="23"/>
  <c r="AL66" i="1"/>
  <c r="AL69" i="1"/>
  <c r="L17" i="17"/>
  <c r="L16" i="17" s="1"/>
  <c r="L39" i="17" s="1"/>
  <c r="P66" i="1"/>
  <c r="P69" i="1"/>
  <c r="J16" i="17"/>
  <c r="AJ88" i="1"/>
  <c r="AJ90" i="1" s="1"/>
  <c r="P26" i="23"/>
  <c r="AN66" i="1"/>
  <c r="AN69" i="1"/>
  <c r="N17" i="17"/>
  <c r="N16" i="17" s="1"/>
  <c r="N39" i="17" s="1"/>
  <c r="R66" i="1"/>
  <c r="R69" i="1"/>
  <c r="T200" i="1"/>
  <c r="P85" i="17" s="1"/>
  <c r="T90" i="1"/>
  <c r="T197" i="1"/>
  <c r="J86" i="17"/>
  <c r="AH90" i="1"/>
  <c r="N197" i="1"/>
  <c r="AP207" i="1"/>
  <c r="AP197" i="1"/>
  <c r="AF197" i="1"/>
  <c r="AR198" i="1"/>
  <c r="AR200" i="1" s="1"/>
  <c r="AR202" i="1" s="1"/>
  <c r="J198" i="1"/>
  <c r="J197" i="1" s="1"/>
  <c r="G12" i="21"/>
  <c r="G18" i="21"/>
  <c r="F91" i="17"/>
  <c r="AF207" i="1"/>
  <c r="L81" i="17"/>
  <c r="V79" i="17"/>
  <c r="V78" i="17" s="1"/>
  <c r="V81" i="17" s="1"/>
  <c r="AB189" i="1"/>
  <c r="Z192" i="1"/>
  <c r="J85" i="17"/>
  <c r="N202" i="1"/>
  <c r="N207" i="1" s="1"/>
  <c r="V200" i="1"/>
  <c r="R86" i="17"/>
  <c r="AH200" i="1"/>
  <c r="V197" i="1"/>
  <c r="AD22" i="1" l="1"/>
  <c r="H86" i="17"/>
  <c r="L200" i="1"/>
  <c r="H85" i="17" s="1"/>
  <c r="P89" i="17"/>
  <c r="AZ22" i="1"/>
  <c r="AT90" i="1"/>
  <c r="AX18" i="17"/>
  <c r="Q26" i="23"/>
  <c r="AJ194" i="1"/>
  <c r="AJ198" i="1" s="1"/>
  <c r="AJ200" i="1" s="1"/>
  <c r="AJ202" i="1" s="1"/>
  <c r="AJ207" i="1" s="1"/>
  <c r="V17" i="17"/>
  <c r="V16" i="17" s="1"/>
  <c r="V39" i="17" s="1"/>
  <c r="Z66" i="1"/>
  <c r="Z69" i="1"/>
  <c r="X88" i="1"/>
  <c r="X90" i="1" s="1"/>
  <c r="T42" i="17"/>
  <c r="T54" i="17" s="1"/>
  <c r="T83" i="17" s="1"/>
  <c r="AT194" i="1"/>
  <c r="AX66" i="1"/>
  <c r="AX69" i="1"/>
  <c r="AX88" i="1" s="1"/>
  <c r="X17" i="17"/>
  <c r="X16" i="17" s="1"/>
  <c r="X39" i="17" s="1"/>
  <c r="AB66" i="1"/>
  <c r="AB69" i="1"/>
  <c r="AV66" i="1"/>
  <c r="AV69" i="1"/>
  <c r="AV88" i="1" s="1"/>
  <c r="N42" i="17"/>
  <c r="N54" i="17" s="1"/>
  <c r="N83" i="17" s="1"/>
  <c r="R88" i="1"/>
  <c r="R90" i="1" s="1"/>
  <c r="J39" i="17"/>
  <c r="P27" i="23"/>
  <c r="AN88" i="1"/>
  <c r="O27" i="23"/>
  <c r="AL88" i="1"/>
  <c r="P88" i="1"/>
  <c r="P194" i="1" s="1"/>
  <c r="P198" i="1" s="1"/>
  <c r="L42" i="17"/>
  <c r="T202" i="1"/>
  <c r="T207" i="1" s="1"/>
  <c r="AR197" i="1"/>
  <c r="AR207" i="1"/>
  <c r="R91" i="17"/>
  <c r="F86" i="17"/>
  <c r="J200" i="1"/>
  <c r="AB192" i="1"/>
  <c r="X79" i="17"/>
  <c r="X78" i="17" s="1"/>
  <c r="X81" i="17" s="1"/>
  <c r="AD189" i="1"/>
  <c r="R85" i="17"/>
  <c r="R89" i="17" s="1"/>
  <c r="V202" i="1"/>
  <c r="V207" i="1" s="1"/>
  <c r="AH202" i="1"/>
  <c r="L202" i="1" l="1"/>
  <c r="L207" i="1" s="1"/>
  <c r="Q27" i="23"/>
  <c r="Q45" i="23" s="1"/>
  <c r="P75" i="23" s="1"/>
  <c r="P90" i="23" s="1"/>
  <c r="AD66" i="1"/>
  <c r="AV90" i="1"/>
  <c r="Z16" i="17"/>
  <c r="AZ69" i="1"/>
  <c r="AJ197" i="1"/>
  <c r="J91" i="17"/>
  <c r="AD69" i="1"/>
  <c r="X194" i="1"/>
  <c r="AT198" i="1"/>
  <c r="AT200" i="1" s="1"/>
  <c r="AT202" i="1" s="1"/>
  <c r="Z17" i="17"/>
  <c r="Z88" i="1"/>
  <c r="V42" i="17"/>
  <c r="V54" i="17" s="1"/>
  <c r="V83" i="17" s="1"/>
  <c r="AV194" i="1"/>
  <c r="AB88" i="1"/>
  <c r="AB90" i="1" s="1"/>
  <c r="X42" i="17"/>
  <c r="X54" i="17" s="1"/>
  <c r="X83" i="17" s="1"/>
  <c r="AX194" i="1"/>
  <c r="AX90" i="1"/>
  <c r="AZ66" i="1"/>
  <c r="AN90" i="1"/>
  <c r="AN194" i="1"/>
  <c r="L54" i="17"/>
  <c r="J83" i="17"/>
  <c r="J89" i="17" s="1"/>
  <c r="Z39" i="17"/>
  <c r="P197" i="1"/>
  <c r="P200" i="1"/>
  <c r="L86" i="17"/>
  <c r="P90" i="1"/>
  <c r="AL90" i="1"/>
  <c r="AL194" i="1"/>
  <c r="AZ88" i="1"/>
  <c r="R194" i="1"/>
  <c r="R198" i="1" s="1"/>
  <c r="G14" i="21"/>
  <c r="J202" i="1"/>
  <c r="F85" i="17"/>
  <c r="F89" i="17" s="1"/>
  <c r="AD192" i="1"/>
  <c r="Z79" i="17"/>
  <c r="Z78" i="17"/>
  <c r="Z81" i="17"/>
  <c r="H89" i="17"/>
  <c r="H91" i="17"/>
  <c r="AH207" i="1"/>
  <c r="X198" i="1" l="1"/>
  <c r="X197" i="1" s="1"/>
  <c r="AT207" i="1"/>
  <c r="T91" i="17"/>
  <c r="AX198" i="1"/>
  <c r="AX200" i="1" s="1"/>
  <c r="AX202" i="1" s="1"/>
  <c r="Z90" i="1"/>
  <c r="AD90" i="1" s="1"/>
  <c r="Z194" i="1"/>
  <c r="Z42" i="17"/>
  <c r="AB194" i="1"/>
  <c r="AB198" i="1" s="1"/>
  <c r="AB197" i="1" s="1"/>
  <c r="AD88" i="1"/>
  <c r="AV198" i="1"/>
  <c r="AV200" i="1" s="1"/>
  <c r="AV202" i="1" s="1"/>
  <c r="AZ90" i="1"/>
  <c r="AT197" i="1"/>
  <c r="P202" i="1"/>
  <c r="P207" i="1" s="1"/>
  <c r="L85" i="17"/>
  <c r="R197" i="1"/>
  <c r="R200" i="1"/>
  <c r="N86" i="17"/>
  <c r="Z54" i="17"/>
  <c r="L83" i="17"/>
  <c r="Z83" i="17" s="1"/>
  <c r="AL198" i="1"/>
  <c r="AZ194" i="1"/>
  <c r="AN198" i="1"/>
  <c r="AN200" i="1" s="1"/>
  <c r="AN202" i="1" s="1"/>
  <c r="J207" i="1"/>
  <c r="G16" i="21"/>
  <c r="AB200" i="1" l="1"/>
  <c r="AB202" i="1" s="1"/>
  <c r="AB207" i="1" s="1"/>
  <c r="AV197" i="1"/>
  <c r="T86" i="17"/>
  <c r="X200" i="1"/>
  <c r="AX197" i="1"/>
  <c r="X91" i="17"/>
  <c r="AX207" i="1"/>
  <c r="V91" i="17"/>
  <c r="AV207" i="1"/>
  <c r="X86" i="17"/>
  <c r="Z198" i="1"/>
  <c r="AD194" i="1"/>
  <c r="AN197" i="1"/>
  <c r="AL200" i="1"/>
  <c r="AZ198" i="1"/>
  <c r="AZ197" i="1" s="1"/>
  <c r="AL197" i="1"/>
  <c r="L89" i="17"/>
  <c r="N85" i="17"/>
  <c r="N89" i="17" s="1"/>
  <c r="R202" i="1"/>
  <c r="R207" i="1" s="1"/>
  <c r="N91" i="17"/>
  <c r="AN207" i="1"/>
  <c r="X85" i="17"/>
  <c r="X202" i="1" l="1"/>
  <c r="X207" i="1" s="1"/>
  <c r="T85" i="17"/>
  <c r="T89" i="17" s="1"/>
  <c r="J12" i="21"/>
  <c r="AC83" i="17"/>
  <c r="Z197" i="1"/>
  <c r="Z200" i="1"/>
  <c r="V86" i="17"/>
  <c r="Z86" i="17" s="1"/>
  <c r="AD198" i="1"/>
  <c r="AD197" i="1" s="1"/>
  <c r="AL202" i="1"/>
  <c r="AZ200" i="1"/>
  <c r="X89" i="17"/>
  <c r="V85" i="17" l="1"/>
  <c r="Z202" i="1"/>
  <c r="AD200" i="1"/>
  <c r="AL207" i="1"/>
  <c r="AZ207" i="1" s="1"/>
  <c r="G210" i="1" s="1"/>
  <c r="L91" i="17"/>
  <c r="Z91" i="17" s="1"/>
  <c r="AZ202" i="1"/>
  <c r="AC85" i="17" l="1"/>
  <c r="J14" i="21"/>
  <c r="Z207" i="1"/>
  <c r="AD207" i="1" s="1"/>
  <c r="G209" i="1" s="1"/>
  <c r="G211" i="1" s="1"/>
  <c r="AD202" i="1"/>
  <c r="J16" i="21" s="1"/>
  <c r="V89" i="17"/>
  <c r="Z89" i="17" s="1"/>
  <c r="Z85" i="17"/>
  <c r="O6" i="23"/>
  <c r="AC91" i="17"/>
  <c r="J18" i="21"/>
  <c r="BD66" i="1" l="1"/>
  <c r="AC89" i="17"/>
</calcChain>
</file>

<file path=xl/sharedStrings.xml><?xml version="1.0" encoding="utf-8"?>
<sst xmlns="http://schemas.openxmlformats.org/spreadsheetml/2006/main" count="800" uniqueCount="404">
  <si>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</si>
  <si>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</si>
  <si>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</si>
  <si>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</si>
  <si>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</si>
  <si>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</si>
  <si>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</si>
  <si>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</si>
  <si>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</si>
  <si>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</si>
  <si>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</si>
  <si>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</si>
  <si>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</si>
  <si>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</si>
  <si>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</si>
  <si>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</si>
  <si>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</si>
  <si>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</si>
  <si>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</si>
  <si>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</si>
  <si>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</si>
  <si>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</si>
  <si>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</si>
  <si>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</si>
  <si>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</si>
  <si>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</si>
  <si>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</si>
  <si>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</si>
  <si>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</si>
  <si>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</si>
  <si>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</si>
  <si>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</si>
  <si>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</si>
  <si>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</si>
  <si>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</si>
  <si>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</si>
  <si>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</si>
  <si>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</si>
  <si>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</si>
  <si>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</si>
  <si>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</si>
  <si>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</si>
  <si>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</si>
  <si>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</si>
  <si>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</si>
  <si>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</si>
  <si>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</si>
  <si>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</si>
  <si>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</si>
  <si>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</si>
  <si>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</si>
  <si>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</si>
  <si>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</si>
  <si>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</si>
  <si>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</si>
  <si>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</si>
  <si>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</si>
  <si>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</si>
  <si>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</si>
  <si>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</si>
  <si>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</si>
  <si>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</si>
  <si>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</si>
  <si>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</si>
  <si>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</si>
  <si>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</si>
  <si>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</si>
  <si>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$/hr, # hours</t>
  </si>
  <si>
    <t>Period of Performance:</t>
  </si>
  <si>
    <t>Capital Equipment</t>
  </si>
  <si>
    <t>No. Days</t>
  </si>
  <si>
    <t>No. Trips</t>
  </si>
  <si>
    <t>Cost</t>
  </si>
  <si>
    <t>Description</t>
  </si>
  <si>
    <t>Airfare</t>
  </si>
  <si>
    <t>No. Participants</t>
  </si>
  <si>
    <t>Yr 1</t>
  </si>
  <si>
    <t>Yr 2</t>
  </si>
  <si>
    <t>Yr 3</t>
  </si>
  <si>
    <t>Yr 4</t>
  </si>
  <si>
    <t>Yr 5</t>
  </si>
  <si>
    <t>Person Mos.</t>
  </si>
  <si>
    <t>No. People</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</si>
  <si>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</si>
  <si>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</si>
  <si>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</si>
  <si>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</si>
  <si>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</si>
  <si>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</si>
  <si>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</si>
  <si>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</si>
  <si>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</si>
  <si>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</si>
  <si>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</si>
  <si>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</si>
  <si>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</si>
  <si>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</si>
  <si>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</si>
  <si>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</si>
  <si>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</si>
  <si>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</si>
  <si>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</si>
  <si>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</si>
  <si>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</si>
  <si>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</si>
  <si>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</si>
  <si>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</si>
  <si>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</si>
  <si>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</si>
  <si>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</si>
  <si>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</si>
  <si>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</si>
  <si>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</si>
  <si>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</si>
  <si>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</si>
  <si>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</si>
  <si>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</si>
  <si>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</si>
  <si>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</si>
  <si>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</si>
  <si>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</si>
  <si>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</si>
  <si>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</si>
  <si>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</si>
  <si>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</si>
  <si>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</si>
  <si>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</si>
  <si>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</si>
  <si>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</si>
  <si>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</si>
  <si>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</si>
  <si>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</si>
  <si>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</si>
  <si>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</si>
  <si>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</si>
  <si>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</si>
  <si>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</si>
  <si>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</si>
  <si>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</si>
  <si>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</si>
  <si>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</si>
  <si>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</si>
  <si>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</si>
  <si>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</si>
  <si>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</si>
  <si>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</si>
  <si>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</si>
  <si>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</si>
  <si>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</si>
  <si>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</si>
  <si>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</si>
  <si>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</si>
  <si>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</si>
  <si>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</si>
  <si>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</si>
  <si>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</si>
  <si>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</si>
  <si>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</si>
  <si>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</si>
  <si>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</si>
  <si>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</si>
  <si>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</si>
  <si>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</si>
  <si>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</si>
  <si>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</si>
  <si>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</si>
  <si>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</si>
  <si>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</si>
  <si>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</si>
  <si>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</si>
  <si>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</si>
  <si>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</si>
  <si>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</si>
  <si>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</si>
  <si>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</si>
  <si>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</si>
  <si>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</si>
  <si>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</si>
  <si>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</si>
  <si>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</si>
  <si>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</si>
  <si>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</si>
  <si>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</si>
  <si>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</si>
  <si>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</si>
  <si>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</si>
  <si>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</si>
  <si>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</si>
  <si>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</si>
  <si>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</si>
  <si>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</si>
  <si>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</si>
  <si>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</si>
  <si>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</si>
  <si>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</si>
  <si>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</si>
  <si>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</si>
  <si>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</si>
  <si>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</si>
  <si>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</si>
  <si>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</si>
  <si>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</si>
  <si>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</si>
  <si>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</si>
  <si>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</si>
  <si>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</si>
  <si>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</si>
  <si>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</si>
  <si>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</si>
  <si>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</si>
  <si>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</si>
  <si>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</si>
  <si>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</si>
  <si>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</si>
  <si>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</si>
  <si>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</si>
  <si>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</si>
  <si>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</si>
  <si>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</si>
  <si>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</si>
  <si>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</si>
  <si>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</si>
  <si>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</si>
  <si>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</si>
  <si>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</si>
  <si>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</si>
  <si>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</si>
  <si>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</si>
  <si>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</si>
  <si>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</si>
  <si>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</si>
  <si>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</si>
  <si>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</si>
  <si>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</si>
  <si>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</si>
  <si>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</si>
  <si>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</si>
  <si>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</si>
  <si>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</si>
  <si>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</si>
  <si>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</si>
  <si>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</si>
  <si>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</si>
  <si>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</si>
  <si>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</si>
  <si>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</si>
  <si>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</si>
  <si>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</si>
  <si>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</si>
  <si>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</si>
  <si>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</si>
  <si>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</si>
  <si>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</si>
  <si>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</si>
  <si>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</si>
  <si>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</si>
  <si>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</si>
  <si>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</si>
  <si>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</si>
  <si>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</si>
  <si>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</si>
  <si>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</si>
  <si>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</si>
  <si>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</si>
  <si>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</si>
  <si>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</si>
  <si>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</si>
  <si>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</si>
  <si>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</si>
  <si>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</si>
  <si>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</si>
  <si>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</si>
  <si>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</si>
  <si>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</si>
  <si>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</si>
  <si>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</si>
  <si>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</si>
  <si>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</si>
  <si>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</si>
  <si>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</si>
  <si>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</si>
  <si>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</si>
  <si>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</si>
  <si>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</si>
  <si>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</si>
  <si>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</si>
  <si>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</si>
  <si>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</si>
  <si>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</si>
  <si>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</si>
  <si>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</si>
  <si>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</si>
  <si>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</si>
  <si>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</si>
  <si>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</si>
  <si>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</si>
  <si>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</si>
  <si>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</si>
  <si>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</si>
  <si>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</si>
  <si>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</si>
  <si>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</si>
  <si>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</si>
  <si>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</si>
  <si>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</si>
  <si>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</si>
  <si>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</si>
  <si>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</si>
  <si>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</si>
  <si>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</si>
  <si>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</si>
  <si>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</si>
  <si>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</si>
  <si>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</si>
  <si>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</si>
  <si>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</si>
  <si>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</si>
  <si>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</si>
  <si>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</si>
  <si>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For LaTeX Users:</t>
  </si>
  <si>
    <r>
      <t xml:space="preserve">To make this table usable in your LaTeX document, copy and paste the contents of Column L into your file. </t>
    </r>
    <r>
      <rPr>
        <i/>
        <sz val="12"/>
        <color rgb="FFFF0000"/>
        <rFont val="Times"/>
      </rPr>
      <t xml:space="preserve">Make sure you copy all the way down to Row 49 even if there are blank spaces in between </t>
    </r>
    <r>
      <rPr>
        <i/>
        <sz val="12"/>
        <color rgb="FF3333FF"/>
        <rFont val="Times"/>
      </rPr>
      <t>(feel free to remove the blank lines from your document once you have copied everything in).</t>
    </r>
  </si>
  <si>
    <t>Only rows with non-zero row totals, and similarly budget period columns with non-zero totals will be included in the LaTeX table.</t>
  </si>
  <si>
    <t xml:space="preserve">For budgets with 4 or 5 years, you may have to manually override the column widths in order for the table to fit within the margins. </t>
  </si>
  <si>
    <t>\end{tabular}\end{table}</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</si>
  <si>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</si>
  <si>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</si>
  <si>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</si>
  <si>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</si>
  <si>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</si>
  <si>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</si>
  <si>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</si>
  <si>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</si>
  <si>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</si>
  <si>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</si>
  <si>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</si>
  <si>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</si>
  <si>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</si>
  <si>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</si>
  <si>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</si>
  <si>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</si>
  <si>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</si>
  <si>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</si>
  <si>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</si>
  <si>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</si>
  <si>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</si>
  <si>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</si>
  <si>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</si>
  <si>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</si>
  <si>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</si>
  <si>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</si>
  <si>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</si>
  <si>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</si>
  <si>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</si>
  <si>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</si>
  <si>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</si>
  <si>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</si>
  <si>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</si>
  <si>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</si>
  <si>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</si>
  <si>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</si>
  <si>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</si>
  <si>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</si>
  <si>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</si>
  <si>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</si>
  <si>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</si>
  <si>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</si>
  <si>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</si>
  <si>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No. Semesters</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</si>
  <si>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</si>
  <si>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</si>
  <si>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</si>
  <si>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</si>
  <si>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</si>
  <si>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</si>
  <si>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</si>
  <si>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</si>
  <si>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*Subs to other CU campuses are not included in this total, but should be detailed below.
*Update MTDC formula as applicable for each year if subaward costs are less than $25,000 in Year 1.</t>
  </si>
  <si>
    <t>Total Amount Requested from Sponsor</t>
  </si>
  <si>
    <t>Predetermined for the period 7/1/22-6/30/23:</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</si>
  <si>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</si>
  <si>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</si>
  <si>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</si>
  <si>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</si>
  <si>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</si>
  <si>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</si>
  <si>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</si>
  <si>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*NASA and DOE Office of Science proposals should NOT include fringe inflation</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</si>
  <si>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</si>
  <si>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</si>
  <si>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</si>
  <si>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</si>
  <si>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</si>
  <si>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</si>
  <si>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</si>
  <si>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</si>
  <si>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</si>
  <si>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</si>
  <si>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</si>
  <si>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</si>
  <si>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Provisional thereafter per HHS agreement dated 07/23/2024.</t>
  </si>
  <si>
    <t>FY 26</t>
  </si>
  <si>
    <t>Start Date on or after 7/1/25:</t>
  </si>
  <si>
    <t>Template Updated 05/06/2025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</si>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</sst>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85"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i/>
      <sz val="12"/>
      <color rgb="FFFF0000"/>
      <name val="Times"/>
    </font>
    <font>
      <b/>
      <sz val="11"/>
      <color theme="1"/>
      <name val="Arial"/>
      <family val="2"/>
    </font>
    <font>
      <b/>
      <sz val="9"/>
      <color rgb="FFFF0000"/>
      <name val="Calibri"/>
      <family val="2"/>
      <scheme val="minor"/>
    </font>
    <font>
      <u/>
      <sz val="12"/>
      <color theme="10"/>
      <name val="Times"/>
    </font>
  </fonts>
  <fills count="1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4" fillId="0" borderId="0" applyNumberFormat="0" applyFill="0" applyBorder="0" applyAlignment="0" applyProtection="0"/>
  </cellStyleXfs>
  <cellXfs count="727">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applyAlignment="1">
      <alignment horizontal="left"/>
    </xf>
    <xf numFmtId="3" fontId="18" fillId="0" borderId="0" xfId="0" applyNumberFormat="1" applyFont="1"/>
    <xf numFmtId="3" fontId="18" fillId="0" borderId="0" xfId="0" applyNumberFormat="1" applyFont="1" applyAlignment="1">
      <alignment horizontal="right"/>
    </xf>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5" fillId="0" borderId="0" xfId="0" applyFont="1"/>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0" fontId="67" fillId="0" borderId="0" xfId="0" applyFont="1" applyAlignment="1">
      <alignment horizontal="left" vertical="top" wrapText="1"/>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3" fontId="11" fillId="0" borderId="0" xfId="0" applyNumberFormat="1" applyFont="1" applyAlignment="1">
      <alignment horizontal="left" vertical="top" wrapText="1"/>
    </xf>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18"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62" fillId="0" borderId="0" xfId="0" applyNumberFormat="1" applyFont="1" applyAlignment="1">
      <alignment horizontal="left" wrapText="1"/>
    </xf>
    <xf numFmtId="0" fontId="12" fillId="0" borderId="0" xfId="0" applyFont="1" applyAlignment="1">
      <alignment horizontal="center"/>
    </xf>
    <xf numFmtId="0" fontId="11" fillId="4" borderId="0" xfId="0" applyFont="1" applyFill="1" applyAlignment="1">
      <alignment horizontal="left"/>
    </xf>
    <xf numFmtId="0" fontId="13" fillId="0" borderId="0" xfId="0" applyFont="1" applyAlignment="1">
      <alignment horizontal="center"/>
    </xf>
    <xf numFmtId="14" fontId="11" fillId="4" borderId="0" xfId="0" applyNumberFormat="1" applyFont="1" applyFill="1" applyAlignment="1">
      <alignment horizontal="left"/>
    </xf>
    <xf numFmtId="0" fontId="11" fillId="4" borderId="0" xfId="0" applyFont="1" applyFill="1" applyAlignment="1">
      <alignment horizontal="left" vertical="center"/>
    </xf>
    <xf numFmtId="0" fontId="71" fillId="0" borderId="0" xfId="0" applyFont="1" applyAlignment="1">
      <alignment vertical="top" wrapText="1"/>
    </xf>
    <xf numFmtId="0" fontId="73" fillId="0" borderId="0" xfId="0" applyFont="1" applyAlignment="1">
      <alignment vertical="top" wrapText="1"/>
    </xf>
    <xf numFmtId="0" fontId="66" fillId="13" borderId="6" xfId="7" applyNumberFormat="1" applyFont="1" applyFill="1" applyBorder="1" applyAlignment="1">
      <alignment horizontal="center" vertical="center"/>
    </xf>
    <xf numFmtId="0" fontId="66" fillId="13" borderId="3" xfId="7" applyNumberFormat="1" applyFont="1" applyFill="1" applyBorder="1" applyAlignment="1">
      <alignment horizontal="center" vertical="center"/>
    </xf>
    <xf numFmtId="0" fontId="66" fillId="13" borderId="9" xfId="7" applyNumberFormat="1" applyFont="1" applyFill="1" applyBorder="1" applyAlignment="1">
      <alignment horizontal="center" vertical="center"/>
    </xf>
    <xf numFmtId="0" fontId="76" fillId="13" borderId="6" xfId="7" applyNumberFormat="1" applyFont="1" applyFill="1" applyBorder="1" applyAlignment="1">
      <alignment horizontal="left" vertical="center" indent="1"/>
    </xf>
    <xf numFmtId="0" fontId="76" fillId="13" borderId="3" xfId="7" applyNumberFormat="1" applyFont="1" applyFill="1" applyBorder="1" applyAlignment="1">
      <alignment horizontal="left" vertical="center" indent="1"/>
    </xf>
    <xf numFmtId="0" fontId="76" fillId="13" borderId="9" xfId="7" applyNumberFormat="1" applyFont="1" applyFill="1" applyBorder="1" applyAlignment="1">
      <alignment horizontal="left" vertical="center" indent="1"/>
    </xf>
    <xf numFmtId="0" fontId="76" fillId="13" borderId="5" xfId="7" applyNumberFormat="1" applyFont="1" applyFill="1" applyBorder="1" applyAlignment="1">
      <alignment horizontal="left" vertical="center" indent="1"/>
    </xf>
    <xf numFmtId="0" fontId="71" fillId="0" borderId="0" xfId="0" applyFont="1" applyAlignment="1">
      <alignment horizontal="left" vertical="top" wrapTex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0" fontId="30" fillId="0" borderId="1" xfId="2" applyFont="1" applyBorder="1" applyAlignment="1">
      <alignment horizontal="right" vertical="center"/>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6" fillId="0" borderId="0" xfId="2" applyFont="1" applyAlignment="1">
      <alignment horizontal="left" vertical="center" wrapText="1"/>
    </xf>
    <xf numFmtId="0" fontId="82" fillId="3" borderId="6" xfId="0" applyFont="1" applyFill="1" applyBorder="1" applyAlignment="1">
      <alignment horizontal="left" vertical="center"/>
    </xf>
    <xf numFmtId="0" fontId="82" fillId="3" borderId="3" xfId="0" applyFont="1" applyFill="1" applyBorder="1" applyAlignment="1">
      <alignment horizontal="left" vertical="center"/>
    </xf>
    <xf numFmtId="0" fontId="82" fillId="3" borderId="9" xfId="0" applyFont="1" applyFill="1" applyBorder="1" applyAlignment="1">
      <alignment horizontal="left" vertical="center"/>
    </xf>
    <xf numFmtId="0" fontId="6" fillId="0" borderId="0" xfId="2" applyFont="1" applyAlignment="1">
      <alignment horizontal="left" vertical="center" indent="3"/>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5" fillId="14" borderId="1" xfId="2" applyFont="1" applyFill="1" applyBorder="1" applyAlignment="1">
      <alignment horizontal="center" vertical="center"/>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11" fillId="0" borderId="0" xfId="0" applyFont="1" applyAlignment="1">
      <alignment horizontal="left" indent="3"/>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5" fillId="0" borderId="6" xfId="0" applyFont="1" applyBorder="1" applyAlignment="1">
      <alignment horizontal="left" vertical="center"/>
    </xf>
    <xf numFmtId="0" fontId="52" fillId="5" borderId="0" xfId="0" applyFont="1" applyFill="1" applyAlignment="1">
      <alignment horizontal="left" vertical="center" wrapText="1"/>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0" fontId="34" fillId="0" borderId="6" xfId="0" applyFont="1" applyBorder="1" applyAlignment="1">
      <alignment horizontal="right" vertical="center"/>
    </xf>
    <xf numFmtId="0" fontId="34" fillId="0" borderId="3" xfId="0" applyFont="1" applyBorder="1" applyAlignment="1">
      <alignment horizontal="right" vertical="center"/>
    </xf>
    <xf numFmtId="0" fontId="34" fillId="0" borderId="9" xfId="0" applyFont="1" applyBorder="1" applyAlignment="1">
      <alignment horizontal="right" vertical="center"/>
    </xf>
    <xf numFmtId="166" fontId="34" fillId="0" borderId="6" xfId="0" applyNumberFormat="1"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6" xfId="0" applyNumberFormat="1" applyFont="1" applyBorder="1" applyAlignment="1" applyProtection="1">
      <alignment horizontal="center" vertical="center"/>
      <protection locked="0"/>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35" fillId="0" borderId="13" xfId="0" applyFont="1" applyBorder="1" applyAlignment="1">
      <alignment horizontal="left" vertical="center"/>
    </xf>
    <xf numFmtId="0" fontId="35" fillId="0" borderId="2" xfId="0" applyFont="1" applyBorder="1" applyAlignment="1">
      <alignment horizontal="left" vertical="center"/>
    </xf>
    <xf numFmtId="0" fontId="35" fillId="0" borderId="14" xfId="0" applyFont="1" applyBorder="1" applyAlignment="1">
      <alignment horizontal="left" vertical="center"/>
    </xf>
    <xf numFmtId="0" fontId="35" fillId="0" borderId="15" xfId="0" applyFont="1" applyBorder="1" applyAlignment="1">
      <alignment horizontal="left"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5" fillId="0" borderId="16" xfId="0" applyFont="1" applyBorder="1" applyAlignment="1">
      <alignment horizontal="left" vertical="center"/>
    </xf>
    <xf numFmtId="0" fontId="35" fillId="0" borderId="1" xfId="0" applyFont="1" applyBorder="1" applyAlignment="1">
      <alignment horizontal="left" vertical="center"/>
    </xf>
    <xf numFmtId="0" fontId="35" fillId="0" borderId="8" xfId="0" applyFont="1" applyBorder="1" applyAlignment="1">
      <alignment horizontal="left" vertical="center"/>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78" fillId="7" borderId="0" xfId="0" applyFont="1" applyFill="1" applyAlignment="1">
      <alignment horizontal="left" vertical="center" wrapText="1"/>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pplyProtection="1">
      <alignment horizontal="center" vertical="center"/>
      <protection locked="0"/>
    </xf>
    <xf numFmtId="0" fontId="33" fillId="3"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6" fillId="0" borderId="6" xfId="0" applyFont="1" applyBorder="1" applyAlignment="1">
      <alignment horizontal="left" vertical="center"/>
    </xf>
    <xf numFmtId="0" fontId="36" fillId="0" borderId="3" xfId="0" applyFont="1" applyBorder="1" applyAlignment="1">
      <alignment horizontal="left" vertical="center"/>
    </xf>
    <xf numFmtId="0" fontId="37" fillId="0" borderId="6" xfId="0"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3" fontId="37" fillId="0" borderId="6" xfId="0" applyNumberFormat="1" applyFont="1" applyBorder="1" applyAlignment="1" applyProtection="1">
      <alignment horizontal="left" vertical="center"/>
      <protection locked="0"/>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4"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34"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4" fillId="0" borderId="3" xfId="0" applyFont="1" applyBorder="1" applyAlignment="1">
      <alignment horizontal="center" vertical="center" wrapText="1"/>
    </xf>
    <xf numFmtId="0" fontId="35" fillId="0" borderId="13" xfId="0" applyFont="1" applyBorder="1" applyAlignment="1" applyProtection="1">
      <alignment vertical="center"/>
      <protection locked="0"/>
    </xf>
    <xf numFmtId="0" fontId="35" fillId="0" borderId="2" xfId="0" applyFont="1" applyBorder="1" applyAlignment="1" applyProtection="1">
      <alignment vertical="center"/>
      <protection locked="0"/>
    </xf>
    <xf numFmtId="0" fontId="35" fillId="0" borderId="16" xfId="0" applyFont="1" applyBorder="1" applyAlignment="1" applyProtection="1">
      <alignment vertical="center"/>
      <protection locked="0"/>
    </xf>
    <xf numFmtId="0" fontId="35" fillId="0" borderId="1" xfId="0" applyFont="1" applyBorder="1" applyAlignment="1" applyProtection="1">
      <alignment vertical="center"/>
      <protection locked="0"/>
    </xf>
    <xf numFmtId="3" fontId="37" fillId="0" borderId="13" xfId="0" applyNumberFormat="1" applyFont="1" applyBorder="1" applyAlignment="1" applyProtection="1">
      <alignment vertical="center"/>
      <protection locked="0"/>
    </xf>
    <xf numFmtId="3" fontId="37" fillId="0" borderId="2" xfId="0" applyNumberFormat="1" applyFont="1" applyBorder="1" applyAlignment="1" applyProtection="1">
      <alignment vertical="center"/>
      <protection locked="0"/>
    </xf>
    <xf numFmtId="3" fontId="37" fillId="0" borderId="16" xfId="0" applyNumberFormat="1" applyFont="1" applyBorder="1" applyAlignment="1" applyProtection="1">
      <alignment vertical="center"/>
      <protection locked="0"/>
    </xf>
    <xf numFmtId="3" fontId="37" fillId="0" borderId="1" xfId="0" applyNumberFormat="1" applyFont="1" applyBorder="1" applyAlignment="1" applyProtection="1">
      <alignment vertical="center"/>
      <protection locked="0"/>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5" xfId="0" applyFont="1" applyBorder="1" applyAlignment="1">
      <alignment horizontal="right" vertical="center"/>
    </xf>
    <xf numFmtId="0" fontId="16" fillId="0" borderId="5" xfId="0" applyFont="1" applyBorder="1" applyAlignment="1">
      <alignment vertical="center"/>
    </xf>
    <xf numFmtId="0" fontId="33" fillId="8" borderId="0" xfId="0" applyFont="1" applyFill="1" applyAlignment="1">
      <alignment horizontal="left" vertical="top"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5" fillId="0" borderId="13" xfId="0" applyFont="1" applyBorder="1" applyAlignment="1">
      <alignment vertical="center"/>
    </xf>
    <xf numFmtId="0" fontId="35" fillId="0" borderId="2" xfId="0" applyFont="1" applyBorder="1" applyAlignment="1">
      <alignment vertical="center"/>
    </xf>
    <xf numFmtId="0" fontId="35" fillId="0" borderId="14" xfId="0" applyFont="1" applyBorder="1" applyAlignment="1">
      <alignment vertical="center"/>
    </xf>
    <xf numFmtId="0" fontId="35" fillId="0" borderId="15" xfId="0" applyFont="1" applyBorder="1" applyAlignment="1">
      <alignment vertical="center"/>
    </xf>
    <xf numFmtId="0" fontId="35" fillId="0" borderId="7" xfId="0" applyFont="1" applyBorder="1" applyAlignment="1">
      <alignment vertical="center"/>
    </xf>
    <xf numFmtId="0" fontId="35" fillId="0" borderId="16" xfId="0" applyFont="1" applyBorder="1" applyAlignment="1">
      <alignment vertical="center"/>
    </xf>
    <xf numFmtId="0" fontId="35" fillId="0" borderId="1" xfId="0" applyFont="1" applyBorder="1" applyAlignment="1">
      <alignment vertical="center"/>
    </xf>
    <xf numFmtId="0" fontId="35" fillId="0" borderId="8" xfId="0" applyFont="1" applyBorder="1" applyAlignment="1">
      <alignment vertical="center"/>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8" fillId="0" borderId="3" xfId="6" applyBorder="1" applyAlignment="1" applyProtection="1">
      <alignment horizontal="left" vertical="center"/>
      <protection locked="0"/>
    </xf>
    <xf numFmtId="0" fontId="59" fillId="0" borderId="1" xfId="6" applyFont="1" applyBorder="1" applyAlignment="1">
      <alignment horizontal="center" vertical="center"/>
    </xf>
    <xf numFmtId="0" fontId="59" fillId="0" borderId="3" xfId="6" applyFont="1" applyBorder="1" applyAlignment="1">
      <alignment horizontal="center" vertical="center"/>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9" xfId="6" applyFont="1" applyBorder="1" applyAlignment="1">
      <alignment horizontal="center" vertical="center"/>
    </xf>
    <xf numFmtId="0" fontId="9" fillId="0" borderId="9" xfId="5" applyBorder="1" applyAlignment="1" applyProtection="1">
      <alignment horizontal="left" vertical="center"/>
      <protection locked="0"/>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59" fillId="0" borderId="3"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3"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9" xfId="5" applyFont="1" applyBorder="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5</xdr:col>
      <xdr:colOff>259408</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solidFill>
                <a:srgbClr val="FFFFFF"/>
              </a:solidFill>
            </a14:hiddenFill>
          </a:ext>
          <a:ext uri="{91240B29-F687-4f45-9708-019B960494DF}">
            <a14:hiddenLine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1</xdr:col>
          <xdr:colOff>142875</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4</xdr:col>
      <xdr:colOff>31431</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26"/>
  <sheetViews>
    <sheetView tabSelected="1" zoomScale="85" zoomScaleNormal="85" workbookViewId="0">
      <selection activeCell="E13" sqref="E13"/>
    </sheetView>
  </sheetViews>
  <sheetFormatPr defaultColWidth="11" defaultRowHeight="15.75" outlineLevelRow="1" outlineLevelCol="2" x14ac:dyDescent="0.25"/>
  <cols>
    <col min="1" max="1" width="25.125" style="77" customWidth="1"/>
    <col min="2" max="2" width="2.75" style="77" customWidth="1"/>
    <col min="3" max="3" width="2.5" style="77" customWidth="1"/>
    <col min="4" max="4" width="22.25" style="77" customWidth="1"/>
    <col min="5" max="5" width="12.625" style="77" customWidth="1"/>
    <col min="6" max="6" width="13.75" style="44" customWidth="1"/>
    <col min="7" max="7" width="9.5" style="44" customWidth="1"/>
    <col min="8" max="8" width="11.625" style="78" customWidth="1"/>
    <col min="9" max="9" width="1.75" style="78" customWidth="1"/>
    <col min="10" max="10" width="11" style="78" customWidth="1"/>
    <col min="11" max="11" width="1.75" style="78" customWidth="1"/>
    <col min="12" max="12" width="11" style="78"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8" hidden="1" customWidth="1" outlineLevel="1"/>
    <col min="21" max="21" width="1.75" style="78" hidden="1" customWidth="1" outlineLevel="1"/>
    <col min="22" max="22" width="11" style="78"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7" hidden="1" customWidth="1" outlineLevel="1"/>
    <col min="33" max="33" width="1.75" style="78" hidden="1" customWidth="1" outlineLevel="1"/>
    <col min="34" max="34" width="11" style="327" hidden="1" customWidth="1" outlineLevel="1"/>
    <col min="35" max="35" width="1.75" style="13" hidden="1" customWidth="1" outlineLevel="1"/>
    <col min="36" max="36" width="11" style="328" hidden="1" customWidth="1" outlineLevel="1"/>
    <col min="37" max="37" width="1.75" style="13" hidden="1" customWidth="1" outlineLevel="1"/>
    <col min="38" max="38" width="11" style="328" hidden="1" customWidth="1" outlineLevel="1"/>
    <col min="39" max="39" width="1.75" style="13" hidden="1" customWidth="1" outlineLevel="1"/>
    <col min="40" max="40" width="11" style="328" hidden="1" customWidth="1" outlineLevel="1"/>
    <col min="41" max="41" width="1.75" style="13" hidden="1" customWidth="1" outlineLevel="2"/>
    <col min="42" max="42" width="11" style="327" hidden="1" customWidth="1" outlineLevel="2"/>
    <col min="43" max="43" width="1.75" style="78" hidden="1" customWidth="1" outlineLevel="2"/>
    <col min="44" max="44" width="11" style="327" hidden="1" customWidth="1" outlineLevel="2"/>
    <col min="45" max="45" width="1.75" style="13" hidden="1" customWidth="1" outlineLevel="2"/>
    <col min="46" max="46" width="11" style="328" hidden="1" customWidth="1" outlineLevel="2"/>
    <col min="47" max="47" width="1.75" style="13" hidden="1" customWidth="1" outlineLevel="2"/>
    <col min="48" max="48" width="11" style="328" hidden="1" customWidth="1" outlineLevel="2"/>
    <col min="49" max="49" width="1.75" style="13" hidden="1" customWidth="1" outlineLevel="2"/>
    <col min="50" max="50" width="11" style="328" hidden="1" customWidth="1" outlineLevel="2"/>
    <col min="51" max="51" width="2.125" style="13" hidden="1" customWidth="1" outlineLevel="1" collapsed="1"/>
    <col min="52" max="52" width="11" style="341" hidden="1" customWidth="1" outlineLevel="1"/>
    <col min="53" max="53" width="9.25" style="13" customWidth="1" collapsed="1"/>
    <col min="54" max="54" width="2" style="13" customWidth="1"/>
    <col min="55" max="55" width="14.5" style="72" customWidth="1"/>
    <col min="56" max="56" width="9.25" style="60" customWidth="1"/>
    <col min="57" max="57" width="9.875" style="17" customWidth="1"/>
    <col min="58" max="58" width="8.375" style="13" customWidth="1"/>
    <col min="59" max="59" width="6.75" style="13" customWidth="1"/>
    <col min="60" max="60" width="6.75" style="87" customWidth="1"/>
    <col min="61" max="61" width="1.875" style="13" customWidth="1"/>
    <col min="62" max="62" width="7.625" style="13" bestFit="1" customWidth="1"/>
    <col min="63" max="63" width="6.75" style="13" customWidth="1"/>
    <col min="64" max="64" width="6.75" style="87" customWidth="1"/>
    <col min="65" max="65" width="1.875" style="13" customWidth="1"/>
    <col min="66" max="66" width="7.625" style="13" bestFit="1" customWidth="1"/>
    <col min="67" max="67" width="6.75" style="13" customWidth="1"/>
    <col min="68" max="68" width="6.75" style="87" customWidth="1"/>
    <col min="69" max="69" width="1.625" style="13" customWidth="1"/>
    <col min="70" max="70" width="7.625" style="13" bestFit="1" customWidth="1"/>
    <col min="71" max="71" width="6.25" style="13" customWidth="1"/>
    <col min="72" max="72" width="6.25" style="87" customWidth="1"/>
    <col min="73" max="73" width="1.875" style="13" customWidth="1"/>
    <col min="74" max="74" width="7.625" style="13" bestFit="1" customWidth="1"/>
    <col min="75" max="75" width="6.25" style="13" customWidth="1"/>
    <col min="76" max="76" width="6.25" style="87" customWidth="1"/>
    <col min="77" max="77" width="1.75" style="60" hidden="1" customWidth="1" outlineLevel="1"/>
    <col min="78" max="78" width="8.375" style="13" hidden="1" customWidth="1" outlineLevel="1"/>
    <col min="79" max="79" width="6.75" style="13" hidden="1" customWidth="1" outlineLevel="1"/>
    <col min="80" max="80" width="6.75" style="87" hidden="1" customWidth="1" outlineLevel="1"/>
    <col min="81" max="81" width="1.875" style="13" hidden="1" customWidth="1" outlineLevel="1"/>
    <col min="82" max="82" width="7.625" style="13" hidden="1" customWidth="1" outlineLevel="1"/>
    <col min="83" max="83" width="6.75" style="13" hidden="1" customWidth="1" outlineLevel="1"/>
    <col min="84" max="84" width="6.75" style="87" hidden="1" customWidth="1" outlineLevel="1"/>
    <col min="85" max="85" width="1.875" style="13" hidden="1" customWidth="1" outlineLevel="1"/>
    <col min="86" max="86" width="7.625" style="13" hidden="1" customWidth="1" outlineLevel="1"/>
    <col min="87" max="87" width="6.75" style="13" hidden="1" customWidth="1" outlineLevel="1"/>
    <col min="88" max="88" width="6.75" style="87" hidden="1" customWidth="1" outlineLevel="1"/>
    <col min="89" max="89" width="1.625" style="13" hidden="1" customWidth="1" outlineLevel="1"/>
    <col min="90" max="90" width="7.625" style="13" hidden="1" customWidth="1" outlineLevel="1"/>
    <col min="91" max="91" width="6.25" style="13" hidden="1" customWidth="1" outlineLevel="1"/>
    <col min="92" max="92" width="6.25" style="87" hidden="1" customWidth="1" outlineLevel="1"/>
    <col min="93" max="93" width="1.875" style="13" hidden="1" customWidth="1" outlineLevel="1"/>
    <col min="94" max="94" width="7.625" style="13" hidden="1" customWidth="1" outlineLevel="1"/>
    <col min="95" max="95" width="6.25" style="13" hidden="1" customWidth="1" outlineLevel="1"/>
    <col min="96" max="96" width="6.25" style="87" hidden="1" customWidth="1" outlineLevel="1"/>
    <col min="97" max="97" width="11" style="13" collapsed="1"/>
    <col min="107" max="16384" width="11" style="13"/>
  </cols>
  <sheetData>
    <row r="1" spans="2:97" x14ac:dyDescent="0.25">
      <c r="B1" s="77" t="s">
        <v>271</v>
      </c>
      <c r="E1" s="361"/>
      <c r="F1" s="361"/>
      <c r="G1" s="361"/>
      <c r="I1" s="1"/>
      <c r="AD1" s="2" t="s">
        <v>350</v>
      </c>
      <c r="AF1" s="78"/>
      <c r="AH1" s="78"/>
      <c r="AJ1" s="13"/>
      <c r="AL1" s="13"/>
      <c r="AN1" s="13"/>
      <c r="AP1" s="78"/>
      <c r="AR1" s="78"/>
      <c r="AT1" s="13"/>
      <c r="AV1" s="13"/>
      <c r="AX1" s="13"/>
      <c r="AZ1" s="2"/>
      <c r="BB1" s="13" t="s">
        <v>360</v>
      </c>
      <c r="CS1" s="13" t="s">
        <v>350</v>
      </c>
    </row>
    <row r="2" spans="2:97" x14ac:dyDescent="0.25">
      <c r="B2" s="77" t="s">
        <v>90</v>
      </c>
      <c r="E2" s="361"/>
      <c r="F2" s="361"/>
      <c r="G2" s="361"/>
      <c r="AF2" s="78"/>
      <c r="AH2" s="78"/>
      <c r="AJ2" s="13"/>
      <c r="AL2" s="13"/>
      <c r="AN2" s="13"/>
      <c r="AP2" s="78"/>
      <c r="AR2" s="78"/>
      <c r="AT2" s="13"/>
      <c r="AV2" s="13"/>
      <c r="AX2" s="13"/>
      <c r="AZ2" s="2"/>
    </row>
    <row r="3" spans="2:97" x14ac:dyDescent="0.25">
      <c r="B3" s="77" t="s">
        <v>245</v>
      </c>
      <c r="E3" s="363"/>
      <c r="F3" s="363"/>
      <c r="G3" s="363"/>
      <c r="AF3" s="78"/>
      <c r="AH3" s="78"/>
      <c r="AJ3" s="13"/>
      <c r="AL3" s="13"/>
      <c r="AN3" s="13"/>
      <c r="AP3" s="78"/>
      <c r="AR3" s="78"/>
      <c r="AT3" s="13"/>
      <c r="AV3" s="13"/>
      <c r="AX3" s="13"/>
      <c r="AZ3" s="2"/>
    </row>
    <row r="4" spans="2:97" x14ac:dyDescent="0.25">
      <c r="B4" s="77" t="s">
        <v>324</v>
      </c>
      <c r="E4" s="361"/>
      <c r="F4" s="361"/>
      <c r="G4" s="361"/>
      <c r="AF4" s="78"/>
      <c r="AH4" s="78"/>
      <c r="AJ4" s="13"/>
      <c r="AL4" s="13"/>
      <c r="AN4" s="13"/>
      <c r="AP4" s="78"/>
      <c r="AR4" s="78"/>
      <c r="AT4" s="13"/>
      <c r="AV4" s="13"/>
      <c r="AX4" s="13"/>
      <c r="AZ4" s="2"/>
    </row>
    <row r="5" spans="2:97" x14ac:dyDescent="0.25">
      <c r="B5" s="362" t="s">
        <v>244</v>
      </c>
      <c r="C5" s="362"/>
      <c r="D5" s="362"/>
      <c r="E5" s="362"/>
      <c r="F5" s="362"/>
      <c r="G5" s="362"/>
      <c r="H5" s="362"/>
      <c r="I5" s="362"/>
      <c r="J5" s="362"/>
      <c r="K5" s="362"/>
      <c r="L5" s="16"/>
      <c r="M5" s="17"/>
      <c r="P5" s="31"/>
      <c r="T5" s="13"/>
      <c r="U5" s="13"/>
      <c r="V5" s="16"/>
      <c r="W5" s="17"/>
      <c r="Z5" s="31"/>
      <c r="AF5" s="2"/>
      <c r="AG5" s="2"/>
      <c r="AH5" s="16"/>
      <c r="AI5" s="17"/>
      <c r="AJ5" s="13"/>
      <c r="AL5" s="31"/>
      <c r="AN5" s="13"/>
      <c r="AP5" s="13"/>
      <c r="AQ5" s="13"/>
      <c r="AR5" s="16"/>
      <c r="AS5" s="17"/>
      <c r="AT5" s="13"/>
      <c r="AV5" s="31"/>
      <c r="AX5" s="13"/>
      <c r="AZ5" s="2"/>
    </row>
    <row r="6" spans="2:97" x14ac:dyDescent="0.25">
      <c r="F6" s="7"/>
      <c r="G6" s="7"/>
      <c r="AF6" s="78"/>
      <c r="AH6" s="78"/>
      <c r="AJ6" s="13"/>
      <c r="AL6" s="13"/>
      <c r="AN6" s="13"/>
      <c r="AP6" s="78"/>
      <c r="AR6" s="78"/>
      <c r="AT6" s="13"/>
      <c r="AV6" s="13"/>
      <c r="AX6" s="13"/>
      <c r="AZ6" s="2"/>
      <c r="BC6" s="192" t="s">
        <v>54</v>
      </c>
      <c r="BD6" s="193" t="s">
        <v>400</v>
      </c>
    </row>
    <row r="7" spans="2:97" x14ac:dyDescent="0.25">
      <c r="J7" s="77"/>
      <c r="K7" s="316"/>
      <c r="L7" s="316"/>
      <c r="M7" s="316"/>
      <c r="N7" s="316"/>
      <c r="O7" s="316"/>
      <c r="P7" s="316"/>
      <c r="Q7" s="316"/>
      <c r="R7" s="316"/>
      <c r="S7" s="316"/>
      <c r="T7" s="77"/>
      <c r="U7" s="316"/>
      <c r="V7" s="316"/>
      <c r="W7" s="316"/>
      <c r="X7" s="316"/>
      <c r="Y7" s="316"/>
      <c r="Z7" s="316"/>
      <c r="AA7" s="316"/>
      <c r="AB7" s="316"/>
      <c r="AC7" s="316"/>
      <c r="AD7" s="316"/>
      <c r="AE7" s="316"/>
      <c r="AF7" s="77"/>
      <c r="AG7" s="316"/>
      <c r="AH7" s="316"/>
      <c r="AI7" s="316"/>
      <c r="AJ7" s="316"/>
      <c r="AK7" s="316"/>
      <c r="AL7" s="316"/>
      <c r="AM7" s="316"/>
      <c r="AN7" s="316"/>
      <c r="AO7" s="316"/>
      <c r="AP7" s="77"/>
      <c r="AQ7" s="316"/>
      <c r="AR7" s="316"/>
      <c r="AS7" s="316"/>
      <c r="AT7" s="316"/>
      <c r="AU7" s="316"/>
      <c r="AV7" s="316"/>
      <c r="AW7" s="316"/>
      <c r="AX7" s="316"/>
      <c r="AY7" s="316"/>
      <c r="AZ7" s="316"/>
      <c r="BC7" s="194" t="s">
        <v>58</v>
      </c>
      <c r="BD7" s="195">
        <v>3.2000000000000001E-2</v>
      </c>
    </row>
    <row r="8" spans="2:97" x14ac:dyDescent="0.25">
      <c r="I8" s="28"/>
      <c r="J8" s="13"/>
      <c r="K8" s="316"/>
      <c r="L8" s="316"/>
      <c r="M8" s="316"/>
      <c r="N8" s="316"/>
      <c r="O8" s="316"/>
      <c r="P8" s="316"/>
      <c r="Q8" s="316"/>
      <c r="R8" s="316"/>
      <c r="S8" s="316"/>
      <c r="T8" s="13"/>
      <c r="U8" s="316"/>
      <c r="V8" s="316"/>
      <c r="W8" s="316"/>
      <c r="X8" s="316"/>
      <c r="Y8" s="316"/>
      <c r="Z8" s="316"/>
      <c r="AA8" s="316"/>
      <c r="AB8" s="316"/>
      <c r="AC8" s="316"/>
      <c r="AD8" s="316"/>
      <c r="AE8" s="316"/>
      <c r="AF8" s="13"/>
      <c r="AG8" s="316"/>
      <c r="AH8" s="316"/>
      <c r="AI8" s="316"/>
      <c r="AJ8" s="316"/>
      <c r="AK8" s="316"/>
      <c r="AL8" s="316"/>
      <c r="AM8" s="316"/>
      <c r="AN8" s="316"/>
      <c r="AO8" s="316"/>
      <c r="AP8" s="13"/>
      <c r="AQ8" s="316"/>
      <c r="AR8" s="316"/>
      <c r="AS8" s="316"/>
      <c r="AT8" s="316"/>
      <c r="AU8" s="316"/>
      <c r="AV8" s="316"/>
      <c r="AW8" s="316"/>
      <c r="AX8" s="316"/>
      <c r="AY8" s="316"/>
      <c r="AZ8" s="316"/>
      <c r="BC8" s="196" t="s">
        <v>6</v>
      </c>
      <c r="BD8" s="195">
        <f>IF(BD68="yes",2.6%,0%)</f>
        <v>2.5999999999999999E-2</v>
      </c>
    </row>
    <row r="9" spans="2:97" x14ac:dyDescent="0.25">
      <c r="B9" s="77" t="s">
        <v>20</v>
      </c>
      <c r="D9" s="364"/>
      <c r="E9" s="364"/>
      <c r="F9" s="364"/>
      <c r="G9" s="364"/>
      <c r="H9" s="364"/>
      <c r="I9" s="364"/>
      <c r="J9" s="364"/>
      <c r="K9" s="364"/>
      <c r="L9" s="364"/>
      <c r="M9" s="364"/>
      <c r="N9" s="364"/>
      <c r="O9" s="364"/>
      <c r="P9" s="364"/>
      <c r="Q9" s="364"/>
      <c r="R9" s="364"/>
      <c r="T9" s="13"/>
      <c r="U9" s="13"/>
      <c r="V9" s="13"/>
      <c r="AD9" s="13"/>
      <c r="AE9" s="316"/>
      <c r="AF9" s="316"/>
      <c r="AG9" s="316"/>
      <c r="AH9" s="316"/>
      <c r="AI9" s="316"/>
      <c r="AJ9" s="316"/>
      <c r="AK9" s="316"/>
      <c r="AL9" s="316"/>
      <c r="AM9" s="316"/>
      <c r="AN9" s="316"/>
      <c r="AP9" s="13"/>
      <c r="AQ9" s="13"/>
      <c r="AR9" s="13"/>
      <c r="AT9" s="13"/>
      <c r="AV9" s="13"/>
      <c r="AX9" s="13"/>
      <c r="AZ9" s="13"/>
      <c r="BC9" s="196" t="s">
        <v>55</v>
      </c>
      <c r="BD9" s="195">
        <v>0.03</v>
      </c>
    </row>
    <row r="10" spans="2:97" x14ac:dyDescent="0.25">
      <c r="D10" s="364"/>
      <c r="E10" s="364"/>
      <c r="F10" s="364"/>
      <c r="G10" s="364"/>
      <c r="H10" s="364"/>
      <c r="I10" s="364"/>
      <c r="J10" s="364"/>
      <c r="K10" s="364"/>
      <c r="L10" s="364"/>
      <c r="M10" s="364"/>
      <c r="N10" s="364"/>
      <c r="O10" s="364"/>
      <c r="P10" s="364"/>
      <c r="Q10" s="364"/>
      <c r="R10" s="364"/>
      <c r="T10" s="13"/>
      <c r="U10" s="13"/>
      <c r="V10" s="13"/>
      <c r="AD10" s="13"/>
      <c r="AE10" s="316"/>
      <c r="AF10" s="316"/>
      <c r="AG10" s="316"/>
      <c r="AH10" s="316"/>
      <c r="AI10" s="316"/>
      <c r="AJ10" s="316"/>
      <c r="AK10" s="316"/>
      <c r="AL10" s="316"/>
      <c r="AM10" s="316"/>
      <c r="AN10" s="316"/>
      <c r="AP10" s="13"/>
      <c r="AQ10" s="13"/>
      <c r="AR10" s="13"/>
      <c r="AT10" s="13"/>
      <c r="AV10" s="13"/>
      <c r="AX10" s="13"/>
      <c r="AZ10" s="13"/>
      <c r="BC10" s="196" t="s">
        <v>25</v>
      </c>
      <c r="BD10" s="348">
        <v>2.3E-2</v>
      </c>
    </row>
    <row r="11" spans="2:97" x14ac:dyDescent="0.25">
      <c r="I11" s="28"/>
      <c r="J11" s="13"/>
      <c r="K11" s="316"/>
      <c r="L11" s="316"/>
      <c r="M11" s="316"/>
      <c r="N11" s="316"/>
      <c r="O11" s="316"/>
      <c r="P11" s="316"/>
      <c r="Q11" s="316"/>
      <c r="R11" s="316"/>
      <c r="S11" s="316"/>
      <c r="T11" s="13"/>
      <c r="U11" s="316"/>
      <c r="V11" s="316"/>
      <c r="W11" s="316"/>
      <c r="X11" s="316"/>
      <c r="Y11" s="316"/>
      <c r="Z11" s="316"/>
      <c r="AA11" s="316"/>
      <c r="AB11" s="316"/>
      <c r="AC11" s="316"/>
      <c r="AD11" s="316"/>
      <c r="AE11" s="316"/>
      <c r="AF11" s="13"/>
      <c r="AG11" s="316"/>
      <c r="AH11" s="316"/>
      <c r="AI11" s="316"/>
      <c r="AJ11" s="316"/>
      <c r="AK11" s="316"/>
      <c r="AL11" s="316"/>
      <c r="AM11" s="316"/>
      <c r="AN11" s="316"/>
      <c r="AO11" s="316"/>
      <c r="AP11" s="13"/>
      <c r="AQ11" s="316"/>
      <c r="AR11" s="316"/>
      <c r="AS11" s="316"/>
      <c r="AT11" s="316"/>
      <c r="AU11" s="316"/>
      <c r="AV11" s="316"/>
      <c r="AW11" s="316"/>
      <c r="AX11" s="316"/>
      <c r="AY11" s="316"/>
      <c r="AZ11" s="316"/>
      <c r="BC11" s="196" t="s">
        <v>368</v>
      </c>
      <c r="BD11" s="348">
        <v>0.03</v>
      </c>
    </row>
    <row r="12" spans="2:97" x14ac:dyDescent="0.25">
      <c r="B12" s="77" t="s">
        <v>50</v>
      </c>
      <c r="E12" s="90" t="s">
        <v>221</v>
      </c>
      <c r="F12" s="90"/>
      <c r="G12" s="90"/>
      <c r="I12" s="28"/>
      <c r="J12" s="8"/>
      <c r="K12" s="316"/>
      <c r="L12" s="316"/>
      <c r="M12" s="316"/>
      <c r="N12" s="316"/>
      <c r="O12" s="316"/>
      <c r="P12" s="316"/>
      <c r="Q12" s="316"/>
      <c r="R12" s="316"/>
      <c r="S12" s="316"/>
      <c r="T12" s="8"/>
      <c r="U12" s="316"/>
      <c r="V12" s="316"/>
      <c r="W12" s="316"/>
      <c r="X12" s="316"/>
      <c r="Y12" s="316"/>
      <c r="Z12" s="316"/>
      <c r="AA12" s="316"/>
      <c r="AB12" s="316"/>
      <c r="AC12" s="316"/>
      <c r="AD12" s="316"/>
      <c r="AE12" s="316"/>
      <c r="AF12" s="8"/>
      <c r="AG12" s="316"/>
      <c r="AH12" s="316"/>
      <c r="AI12" s="316"/>
      <c r="AJ12" s="316"/>
      <c r="AK12" s="316"/>
      <c r="AL12" s="316"/>
      <c r="AM12" s="316"/>
      <c r="AN12" s="316"/>
      <c r="AO12" s="316"/>
      <c r="AP12" s="8"/>
      <c r="AQ12" s="316"/>
      <c r="AR12" s="316"/>
      <c r="AS12" s="316"/>
      <c r="AT12" s="316"/>
      <c r="AU12" s="316"/>
      <c r="AV12" s="316"/>
      <c r="AW12" s="316"/>
      <c r="AX12" s="316"/>
      <c r="AY12" s="316"/>
      <c r="AZ12" s="316"/>
      <c r="BC12" s="197" t="s">
        <v>369</v>
      </c>
      <c r="BD12" s="198">
        <v>0.03</v>
      </c>
    </row>
    <row r="13" spans="2:97" x14ac:dyDescent="0.25">
      <c r="B13" s="77" t="s">
        <v>51</v>
      </c>
      <c r="E13" s="90"/>
      <c r="F13" s="90"/>
      <c r="G13" s="90"/>
      <c r="I13" s="28"/>
      <c r="J13" s="8"/>
      <c r="K13" s="316"/>
      <c r="L13" s="316"/>
      <c r="M13" s="316"/>
      <c r="N13" s="316"/>
      <c r="O13" s="316"/>
      <c r="P13" s="316"/>
      <c r="Q13" s="316"/>
      <c r="R13" s="316"/>
      <c r="S13" s="316"/>
      <c r="T13" s="8"/>
      <c r="U13" s="316"/>
      <c r="V13" s="316"/>
      <c r="W13" s="316"/>
      <c r="X13" s="316"/>
      <c r="Y13" s="316"/>
      <c r="Z13" s="316"/>
      <c r="AA13" s="316"/>
      <c r="AB13" s="316"/>
      <c r="AC13" s="316"/>
      <c r="AD13" s="316"/>
      <c r="AE13" s="316"/>
      <c r="AF13" s="8"/>
      <c r="AG13" s="316"/>
      <c r="AH13" s="316"/>
      <c r="AI13" s="316"/>
      <c r="AJ13" s="316"/>
      <c r="AK13" s="316"/>
      <c r="AL13" s="316"/>
      <c r="AM13" s="316"/>
      <c r="AN13" s="316"/>
      <c r="AO13" s="316"/>
      <c r="AP13" s="8"/>
      <c r="AQ13" s="316"/>
      <c r="AR13" s="316"/>
      <c r="AS13" s="316"/>
      <c r="AT13" s="316"/>
      <c r="AU13" s="316"/>
      <c r="AV13" s="316"/>
      <c r="AW13" s="316"/>
      <c r="AX13" s="316"/>
      <c r="AY13" s="316"/>
      <c r="AZ13" s="316"/>
    </row>
    <row r="14" spans="2:97" x14ac:dyDescent="0.25">
      <c r="E14" s="36"/>
      <c r="F14" s="90"/>
      <c r="G14" s="90"/>
      <c r="I14" s="28"/>
      <c r="J14" s="8"/>
      <c r="K14" s="28"/>
      <c r="L14" s="28"/>
      <c r="M14" s="28"/>
      <c r="N14" s="28"/>
      <c r="O14" s="28"/>
      <c r="P14" s="28"/>
      <c r="Q14" s="28"/>
      <c r="R14" s="28"/>
      <c r="S14" s="28"/>
      <c r="T14" s="8"/>
      <c r="U14" s="28"/>
      <c r="V14" s="28"/>
      <c r="W14" s="28"/>
      <c r="X14" s="28"/>
      <c r="Y14" s="28"/>
      <c r="Z14" s="28"/>
      <c r="AA14" s="28"/>
      <c r="AB14" s="28"/>
      <c r="AC14" s="28"/>
      <c r="AD14" s="28"/>
      <c r="AE14" s="28"/>
      <c r="AF14" s="8"/>
      <c r="AG14" s="28"/>
      <c r="AH14" s="28"/>
      <c r="AI14" s="28"/>
      <c r="AJ14" s="28"/>
      <c r="AK14" s="28"/>
      <c r="AL14" s="28"/>
      <c r="AM14" s="28"/>
      <c r="AN14" s="28"/>
      <c r="AO14" s="28"/>
      <c r="AP14" s="8"/>
      <c r="AQ14" s="28"/>
      <c r="AR14" s="28"/>
      <c r="AS14" s="28"/>
      <c r="AT14" s="28"/>
      <c r="AU14" s="28"/>
      <c r="AV14" s="28"/>
      <c r="AW14" s="28"/>
      <c r="AX14" s="28"/>
      <c r="AY14" s="28"/>
      <c r="AZ14" s="28"/>
    </row>
    <row r="15" spans="2:97" ht="15.95" customHeight="1" x14ac:dyDescent="0.25">
      <c r="E15" s="36"/>
      <c r="F15" s="89"/>
      <c r="G15" s="89"/>
      <c r="I15" s="8"/>
      <c r="J15" s="8"/>
      <c r="K15" s="8"/>
      <c r="L15" s="8"/>
      <c r="T15" s="8"/>
      <c r="U15" s="8"/>
      <c r="V15" s="8"/>
      <c r="AF15" s="8"/>
      <c r="AG15" s="8"/>
      <c r="AH15" s="8"/>
      <c r="AJ15" s="13"/>
      <c r="AL15" s="13"/>
      <c r="AN15" s="13"/>
      <c r="AP15" s="8"/>
      <c r="AQ15" s="8"/>
      <c r="AR15" s="8"/>
      <c r="AT15" s="13"/>
      <c r="AV15" s="13"/>
      <c r="AX15" s="13"/>
      <c r="AZ15" s="2"/>
      <c r="BC15" s="18" t="s">
        <v>212</v>
      </c>
      <c r="BD15" s="141">
        <v>5</v>
      </c>
    </row>
    <row r="16" spans="2:97" x14ac:dyDescent="0.25">
      <c r="E16" s="36"/>
      <c r="F16" s="89"/>
      <c r="G16" s="89"/>
      <c r="AF16" s="329" t="s">
        <v>359</v>
      </c>
      <c r="AH16" s="329" t="s">
        <v>359</v>
      </c>
      <c r="AJ16" s="329" t="s">
        <v>359</v>
      </c>
      <c r="AL16" s="329" t="s">
        <v>359</v>
      </c>
      <c r="AN16" s="329" t="s">
        <v>359</v>
      </c>
      <c r="AP16" s="329" t="s">
        <v>359</v>
      </c>
      <c r="AR16" s="329" t="s">
        <v>359</v>
      </c>
      <c r="AT16" s="329" t="s">
        <v>359</v>
      </c>
      <c r="AV16" s="329" t="s">
        <v>359</v>
      </c>
      <c r="AX16" s="329" t="s">
        <v>359</v>
      </c>
      <c r="AZ16" s="329" t="s">
        <v>359</v>
      </c>
      <c r="BC16" s="18" t="s">
        <v>401</v>
      </c>
      <c r="BD16" s="177" t="s">
        <v>256</v>
      </c>
    </row>
    <row r="17" spans="1:97" x14ac:dyDescent="0.25">
      <c r="AF17" s="329"/>
      <c r="AH17" s="329"/>
      <c r="AJ17" s="329"/>
      <c r="AL17" s="329"/>
      <c r="AN17" s="329"/>
      <c r="AP17" s="329"/>
      <c r="AR17" s="329"/>
      <c r="AT17" s="329"/>
      <c r="AV17" s="329"/>
      <c r="AX17" s="329"/>
      <c r="AZ17" s="329"/>
    </row>
    <row r="18" spans="1:97" x14ac:dyDescent="0.25">
      <c r="B18" s="77" t="s">
        <v>344</v>
      </c>
      <c r="E18" s="361"/>
      <c r="F18" s="361"/>
      <c r="G18" s="361"/>
      <c r="H18" s="29"/>
      <c r="J18" s="174" t="s">
        <v>0</v>
      </c>
      <c r="K18" s="174"/>
      <c r="L18" s="174" t="s">
        <v>1</v>
      </c>
      <c r="M18" s="16"/>
      <c r="N18" s="174" t="s">
        <v>22</v>
      </c>
      <c r="O18" s="17"/>
      <c r="P18" s="174" t="s">
        <v>31</v>
      </c>
      <c r="Q18" s="17"/>
      <c r="R18" s="174" t="s">
        <v>43</v>
      </c>
      <c r="S18" s="17"/>
      <c r="T18" s="174" t="s">
        <v>345</v>
      </c>
      <c r="U18" s="174"/>
      <c r="V18" s="174" t="s">
        <v>346</v>
      </c>
      <c r="W18" s="16"/>
      <c r="X18" s="174" t="s">
        <v>347</v>
      </c>
      <c r="Y18" s="17"/>
      <c r="Z18" s="174" t="s">
        <v>348</v>
      </c>
      <c r="AA18" s="17"/>
      <c r="AB18" s="174" t="s">
        <v>349</v>
      </c>
      <c r="AC18" s="174"/>
      <c r="AD18" s="32" t="s">
        <v>24</v>
      </c>
      <c r="AE18" s="32"/>
      <c r="AF18" s="329" t="s">
        <v>0</v>
      </c>
      <c r="AG18" s="174"/>
      <c r="AH18" s="329" t="s">
        <v>1</v>
      </c>
      <c r="AI18" s="16"/>
      <c r="AJ18" s="329" t="s">
        <v>22</v>
      </c>
      <c r="AK18" s="17"/>
      <c r="AL18" s="329" t="s">
        <v>31</v>
      </c>
      <c r="AM18" s="17"/>
      <c r="AN18" s="329" t="s">
        <v>43</v>
      </c>
      <c r="AO18" s="17"/>
      <c r="AP18" s="329" t="s">
        <v>345</v>
      </c>
      <c r="AQ18" s="174"/>
      <c r="AR18" s="329" t="s">
        <v>346</v>
      </c>
      <c r="AS18" s="16"/>
      <c r="AT18" s="329" t="s">
        <v>347</v>
      </c>
      <c r="AU18" s="17"/>
      <c r="AV18" s="329" t="s">
        <v>348</v>
      </c>
      <c r="AW18" s="17"/>
      <c r="AX18" s="329" t="s">
        <v>349</v>
      </c>
      <c r="AY18" s="174"/>
      <c r="AZ18" s="342" t="s">
        <v>24</v>
      </c>
      <c r="BC18" s="173" t="s">
        <v>246</v>
      </c>
    </row>
    <row r="19" spans="1:97" x14ac:dyDescent="0.25">
      <c r="H19" s="29"/>
      <c r="J19" s="174"/>
      <c r="K19" s="174"/>
      <c r="L19" s="174"/>
      <c r="M19" s="16"/>
      <c r="N19" s="174"/>
      <c r="O19" s="17"/>
      <c r="P19" s="174"/>
      <c r="Q19" s="17"/>
      <c r="R19" s="174"/>
      <c r="S19" s="17"/>
      <c r="T19" s="174"/>
      <c r="U19" s="174"/>
      <c r="V19" s="174"/>
      <c r="W19" s="16"/>
      <c r="X19" s="174"/>
      <c r="Y19" s="17"/>
      <c r="Z19" s="174"/>
      <c r="AA19" s="17"/>
      <c r="AB19" s="174"/>
      <c r="AC19" s="174"/>
      <c r="AD19" s="32"/>
      <c r="AE19" s="32"/>
      <c r="AF19" s="329"/>
      <c r="AG19" s="174"/>
      <c r="AH19" s="329"/>
      <c r="AI19" s="16"/>
      <c r="AJ19" s="329"/>
      <c r="AK19" s="17"/>
      <c r="AL19" s="329"/>
      <c r="AM19" s="17"/>
      <c r="AN19" s="329"/>
      <c r="AO19" s="17"/>
      <c r="AP19" s="329"/>
      <c r="AQ19" s="174"/>
      <c r="AR19" s="329"/>
      <c r="AS19" s="16"/>
      <c r="AT19" s="329"/>
      <c r="AU19" s="17"/>
      <c r="AV19" s="329"/>
      <c r="AW19" s="17"/>
      <c r="AX19" s="329"/>
      <c r="AY19" s="174"/>
      <c r="AZ19" s="342"/>
      <c r="BC19" s="173"/>
    </row>
    <row r="20" spans="1:97" x14ac:dyDescent="0.25">
      <c r="A20" s="10" t="s">
        <v>248</v>
      </c>
      <c r="B20" s="10" t="s">
        <v>2</v>
      </c>
      <c r="C20" s="10" t="s">
        <v>3</v>
      </c>
      <c r="I20" s="9"/>
      <c r="N20" s="78"/>
      <c r="P20" s="78"/>
      <c r="R20" s="78"/>
      <c r="X20" s="78"/>
      <c r="Z20" s="78"/>
      <c r="AB20" s="78"/>
      <c r="AC20" s="78"/>
      <c r="AJ20" s="327"/>
      <c r="AL20" s="327"/>
      <c r="AN20" s="327"/>
      <c r="AT20" s="327"/>
      <c r="AV20" s="327"/>
      <c r="AX20" s="327"/>
      <c r="AY20" s="78"/>
      <c r="BC20" s="58" t="s">
        <v>61</v>
      </c>
      <c r="BD20" s="61" t="s">
        <v>66</v>
      </c>
      <c r="BE20" s="58" t="s">
        <v>62</v>
      </c>
      <c r="BF20" s="176" t="s">
        <v>63</v>
      </c>
      <c r="BG20" s="176" t="s">
        <v>64</v>
      </c>
      <c r="BH20" s="88" t="s">
        <v>65</v>
      </c>
      <c r="BI20" s="176"/>
      <c r="BJ20" s="176" t="s">
        <v>63</v>
      </c>
      <c r="BK20" s="176" t="s">
        <v>64</v>
      </c>
      <c r="BL20" s="88" t="s">
        <v>65</v>
      </c>
      <c r="BM20" s="176"/>
      <c r="BN20" s="176" t="s">
        <v>63</v>
      </c>
      <c r="BO20" s="176" t="s">
        <v>64</v>
      </c>
      <c r="BP20" s="88" t="s">
        <v>65</v>
      </c>
      <c r="BQ20" s="176"/>
      <c r="BR20" s="176" t="s">
        <v>63</v>
      </c>
      <c r="BS20" s="176" t="s">
        <v>64</v>
      </c>
      <c r="BT20" s="88" t="s">
        <v>65</v>
      </c>
      <c r="BU20" s="17"/>
      <c r="BV20" s="176" t="s">
        <v>63</v>
      </c>
      <c r="BW20" s="176" t="s">
        <v>64</v>
      </c>
      <c r="BX20" s="88" t="s">
        <v>65</v>
      </c>
      <c r="BY20" s="61"/>
      <c r="BZ20" s="176" t="s">
        <v>63</v>
      </c>
      <c r="CA20" s="176" t="s">
        <v>64</v>
      </c>
      <c r="CB20" s="88" t="s">
        <v>65</v>
      </c>
      <c r="CC20" s="176"/>
      <c r="CD20" s="176" t="s">
        <v>63</v>
      </c>
      <c r="CE20" s="176" t="s">
        <v>64</v>
      </c>
      <c r="CF20" s="88" t="s">
        <v>65</v>
      </c>
      <c r="CG20" s="176"/>
      <c r="CH20" s="176" t="s">
        <v>63</v>
      </c>
      <c r="CI20" s="176" t="s">
        <v>64</v>
      </c>
      <c r="CJ20" s="88" t="s">
        <v>65</v>
      </c>
      <c r="CK20" s="176"/>
      <c r="CL20" s="176" t="s">
        <v>63</v>
      </c>
      <c r="CM20" s="176" t="s">
        <v>64</v>
      </c>
      <c r="CN20" s="88" t="s">
        <v>65</v>
      </c>
      <c r="CO20" s="17"/>
      <c r="CP20" s="176" t="s">
        <v>63</v>
      </c>
      <c r="CQ20" s="176" t="s">
        <v>64</v>
      </c>
      <c r="CR20" s="88" t="s">
        <v>65</v>
      </c>
      <c r="CS20" s="176" t="s">
        <v>81</v>
      </c>
    </row>
    <row r="21" spans="1:97" x14ac:dyDescent="0.25">
      <c r="A21" s="36"/>
      <c r="B21" s="10"/>
      <c r="C21" s="77" t="str">
        <f>"PI: "&amp;E12</f>
        <v xml:space="preserve">PI:  </v>
      </c>
      <c r="H21" s="58"/>
      <c r="I21" s="9"/>
      <c r="M21" s="44"/>
      <c r="N21" s="44"/>
      <c r="O21" s="44"/>
      <c r="P21" s="44"/>
      <c r="Q21" s="44"/>
      <c r="R21" s="44"/>
      <c r="W21" s="44"/>
      <c r="X21" s="44"/>
      <c r="Y21" s="44"/>
      <c r="Z21" s="44"/>
      <c r="AA21" s="44"/>
      <c r="AB21" s="44"/>
      <c r="AC21" s="44"/>
      <c r="AI21" s="44"/>
      <c r="AJ21" s="89"/>
      <c r="AK21" s="44"/>
      <c r="AL21" s="89"/>
      <c r="AM21" s="44"/>
      <c r="AN21" s="89"/>
      <c r="AS21" s="44"/>
      <c r="AT21" s="89"/>
      <c r="AU21" s="44"/>
      <c r="AV21" s="89"/>
      <c r="AW21" s="44"/>
      <c r="AX21" s="89"/>
      <c r="AY21" s="44"/>
      <c r="BE21" s="16"/>
      <c r="BF21" s="360" t="s">
        <v>0</v>
      </c>
      <c r="BG21" s="360"/>
      <c r="BH21" s="360"/>
      <c r="BI21" s="176"/>
      <c r="BJ21" s="360" t="s">
        <v>1</v>
      </c>
      <c r="BK21" s="360"/>
      <c r="BL21" s="360"/>
      <c r="BM21" s="176"/>
      <c r="BN21" s="360" t="s">
        <v>22</v>
      </c>
      <c r="BO21" s="360"/>
      <c r="BP21" s="360"/>
      <c r="BQ21" s="176"/>
      <c r="BR21" s="360" t="s">
        <v>31</v>
      </c>
      <c r="BS21" s="360"/>
      <c r="BT21" s="360"/>
      <c r="BV21" s="360" t="s">
        <v>43</v>
      </c>
      <c r="BW21" s="360"/>
      <c r="BX21" s="360"/>
      <c r="BY21" s="176"/>
      <c r="BZ21" s="360" t="s">
        <v>345</v>
      </c>
      <c r="CA21" s="360"/>
      <c r="CB21" s="360"/>
      <c r="CC21" s="176"/>
      <c r="CD21" s="360" t="s">
        <v>346</v>
      </c>
      <c r="CE21" s="360"/>
      <c r="CF21" s="360"/>
      <c r="CG21" s="176"/>
      <c r="CH21" s="360" t="s">
        <v>347</v>
      </c>
      <c r="CI21" s="360"/>
      <c r="CJ21" s="360"/>
      <c r="CK21" s="176"/>
      <c r="CL21" s="360" t="s">
        <v>348</v>
      </c>
      <c r="CM21" s="360"/>
      <c r="CN21" s="360"/>
      <c r="CP21" s="360" t="s">
        <v>349</v>
      </c>
      <c r="CQ21" s="360"/>
      <c r="CR21" s="360"/>
      <c r="CS21" s="176" t="s">
        <v>24</v>
      </c>
    </row>
    <row r="22" spans="1:97" x14ac:dyDescent="0.25">
      <c r="A22" s="36" t="s">
        <v>238</v>
      </c>
      <c r="B22" s="10"/>
      <c r="C22" s="10"/>
      <c r="D22" s="57" t="str">
        <f>((BF22*100)&amp;"%"&amp;" time, "&amp;BG22&amp;" months, "&amp;BE22)</f>
        <v>0% time, 0 months, Summer</v>
      </c>
      <c r="E22" s="57"/>
      <c r="F22" s="16"/>
      <c r="G22" s="16"/>
      <c r="H22" s="58"/>
      <c r="I22" s="9"/>
      <c r="J22" s="78">
        <f>IF(BH22=0,0,($BC22/$BD22*BH22))</f>
        <v>0</v>
      </c>
      <c r="L22" s="78">
        <f>IF(BL22=0,0,($BC22*(1+$BD$7)/$BD22*BL22))</f>
        <v>0</v>
      </c>
      <c r="M22" s="44"/>
      <c r="N22" s="78">
        <f>IF(BP22=0,0,($BC22*(1+$BD$7)^2/$BD22*BP22))</f>
        <v>0</v>
      </c>
      <c r="O22" s="44"/>
      <c r="P22" s="78">
        <f>IF(BT22=0,0,($BC22*(1+$BD$7)^3/$BD22*BT22))</f>
        <v>0</v>
      </c>
      <c r="Q22" s="44"/>
      <c r="R22" s="78">
        <f>IF(BX22=0,0,($BC22*(1+$BD$7)^4/$BD22*BX22))</f>
        <v>0</v>
      </c>
      <c r="S22" s="78"/>
      <c r="T22" s="78">
        <f>IF(CB22=0,0,($BC22*(1+$BD$7)^5/$BD22*CB22))</f>
        <v>0</v>
      </c>
      <c r="V22" s="78">
        <f>IF(CF22=0,0,($BC22*(1+$BD$7)^6/$BD22*CF22))</f>
        <v>0</v>
      </c>
      <c r="W22" s="78"/>
      <c r="X22" s="78">
        <f>IF(CJ22=0,0,($BC22*(1+$BD$7)^7/$BD22*CJ22))</f>
        <v>0</v>
      </c>
      <c r="Y22" s="78"/>
      <c r="Z22" s="78">
        <f>IF(CN22=0,0,($BC22*(1+$BD$7)^8/$BD22*CN22))</f>
        <v>0</v>
      </c>
      <c r="AA22" s="78"/>
      <c r="AB22" s="78">
        <f>IF(CR22=0,0,($BC22*(1+$BD$7)^9/$BD22*CR22))</f>
        <v>0</v>
      </c>
      <c r="AC22" s="78"/>
      <c r="AD22" s="78">
        <f>J22+L22+N22+P22+R22+T22+V22+X22+Z22+AB22</f>
        <v>0</v>
      </c>
      <c r="AE22" s="78"/>
      <c r="AF22" s="327">
        <f t="shared" ref="AF22:AF64" si="0">IF(BH22=0,0,($BC22/$BD22*BH22))*0</f>
        <v>0</v>
      </c>
      <c r="AH22" s="327">
        <f t="shared" ref="AH22:AH64" si="1">IF(BL22=0,0,($BC22*(1+$BD$7)/$BD22*BL22))*0</f>
        <v>0</v>
      </c>
      <c r="AI22" s="78"/>
      <c r="AJ22" s="327">
        <f>IF(BP22=0,0,($BC22*(1+$BD$7)^2/$BD22*BP22))*0</f>
        <v>0</v>
      </c>
      <c r="AK22" s="44"/>
      <c r="AL22" s="327">
        <f>IF(BT22=0,0,($BC22*(1+$BD$7)^3/$BD22*BT22))*0</f>
        <v>0</v>
      </c>
      <c r="AM22" s="44"/>
      <c r="AN22" s="327">
        <f>IF(BX22=0,0,($BC22*(1+$BD$7)^4/$BD22*BX22))*0</f>
        <v>0</v>
      </c>
      <c r="AO22" s="78"/>
      <c r="AP22" s="327">
        <f>IF(CB22=0,0,($BC22*(1+$BD$7)^5/$BD22*CB22))*0</f>
        <v>0</v>
      </c>
      <c r="AR22" s="327">
        <f>IF(CF22=0,0,($BC22*(1+$BD$7)^6/$BD22*CF22))*0</f>
        <v>0</v>
      </c>
      <c r="AS22" s="78"/>
      <c r="AT22" s="327">
        <f>IF(CJ22=0,0,($BC22*(1+$BD$7)^7/$BD22*CJ22))*0</f>
        <v>0</v>
      </c>
      <c r="AU22" s="78"/>
      <c r="AV22" s="327">
        <f>IF(CN22=0,0,($BC22*(1+$BD$7)^8/$BD22*CN22))*0</f>
        <v>0</v>
      </c>
      <c r="AW22" s="78"/>
      <c r="AX22" s="327">
        <f>IF(CR22=0,0,($BC22*(1+$BD$7)^9/$BD22*CR22))*0</f>
        <v>0</v>
      </c>
      <c r="AY22" s="78"/>
      <c r="AZ22" s="327">
        <f>AF22+AH22+AJ22+AL22+AN22+AP22+AR22+AT22+AV22+AX22</f>
        <v>0</v>
      </c>
      <c r="BC22" s="114"/>
      <c r="BD22" s="115">
        <v>9</v>
      </c>
      <c r="BE22" s="116" t="s">
        <v>87</v>
      </c>
      <c r="BF22" s="117">
        <v>0</v>
      </c>
      <c r="BG22" s="118">
        <v>0</v>
      </c>
      <c r="BH22" s="80">
        <f>BF22*BG22</f>
        <v>0</v>
      </c>
      <c r="BI22" s="54"/>
      <c r="BJ22" s="117">
        <f>IF($BD$15=1,0,BF22)</f>
        <v>0</v>
      </c>
      <c r="BK22" s="118">
        <f>IF($BD$15=1,0,BG22)</f>
        <v>0</v>
      </c>
      <c r="BL22" s="80">
        <f>BJ22*BK22</f>
        <v>0</v>
      </c>
      <c r="BM22" s="54"/>
      <c r="BN22" s="117">
        <f>IF($BD$15=2,0,BJ22)</f>
        <v>0</v>
      </c>
      <c r="BO22" s="118">
        <f>IF($BD$15=2,0,BK22)</f>
        <v>0</v>
      </c>
      <c r="BP22" s="80">
        <f>BN22*BO22</f>
        <v>0</v>
      </c>
      <c r="BQ22" s="54"/>
      <c r="BR22" s="117">
        <f>IF($BD$15=3,0,BN22)</f>
        <v>0</v>
      </c>
      <c r="BS22" s="118">
        <f>IF($BD$15=3,0,BO22)</f>
        <v>0</v>
      </c>
      <c r="BT22" s="80">
        <f>BR22*BS22</f>
        <v>0</v>
      </c>
      <c r="BU22" s="54"/>
      <c r="BV22" s="117">
        <f>IF($BD$15=4,0,BR22)</f>
        <v>0</v>
      </c>
      <c r="BW22" s="118">
        <f>IF($BD$15=4,0,BS22)</f>
        <v>0</v>
      </c>
      <c r="BX22" s="80">
        <f>BV22*BW22</f>
        <v>0</v>
      </c>
      <c r="BY22" s="119"/>
      <c r="BZ22" s="117">
        <f>IF($BD$15=5,0,BV22)</f>
        <v>0</v>
      </c>
      <c r="CA22" s="118">
        <f>IF($BD$15=5,0,BW22)</f>
        <v>0</v>
      </c>
      <c r="CB22" s="80">
        <f>BZ22*CA22</f>
        <v>0</v>
      </c>
      <c r="CC22" s="54"/>
      <c r="CD22" s="117">
        <f>IF($BD$15=6,0,BZ22)</f>
        <v>0</v>
      </c>
      <c r="CE22" s="118">
        <f>IF($BD$15=6,0,CA22)</f>
        <v>0</v>
      </c>
      <c r="CF22" s="80">
        <f>CD22*CE22</f>
        <v>0</v>
      </c>
      <c r="CG22" s="54"/>
      <c r="CH22" s="117">
        <f>IF($BD$15=7,0,CD22)</f>
        <v>0</v>
      </c>
      <c r="CI22" s="118">
        <f>IF($BD$15=7,0,CE22)</f>
        <v>0</v>
      </c>
      <c r="CJ22" s="80">
        <f>CH22*CI22</f>
        <v>0</v>
      </c>
      <c r="CK22" s="54"/>
      <c r="CL22" s="117">
        <f>IF($BD$15=8,0,CH22)</f>
        <v>0</v>
      </c>
      <c r="CM22" s="118">
        <f>IF($BD$15=8,0,CI22)</f>
        <v>0</v>
      </c>
      <c r="CN22" s="80">
        <f>CL22*CM22</f>
        <v>0</v>
      </c>
      <c r="CO22" s="54"/>
      <c r="CP22" s="117">
        <f>IF($BD$15=9,0,CL22)</f>
        <v>0</v>
      </c>
      <c r="CQ22" s="118">
        <f>IF($BD$15=9,0,CM22)</f>
        <v>0</v>
      </c>
      <c r="CR22" s="80">
        <f>CP22*CQ22</f>
        <v>0</v>
      </c>
      <c r="CS22" s="119">
        <f>BX22+BT22+BP22+BL22+BH22+CB22+CF22+CJ22+CN22+CR22</f>
        <v>0</v>
      </c>
    </row>
    <row r="23" spans="1:97" x14ac:dyDescent="0.25">
      <c r="A23" s="36"/>
      <c r="B23" s="10"/>
      <c r="C23" s="77" t="str">
        <f>"Co-PI: "&amp;E13</f>
        <v xml:space="preserve">Co-PI: </v>
      </c>
      <c r="H23" s="58"/>
      <c r="I23" s="9"/>
      <c r="M23" s="44"/>
      <c r="N23" s="44"/>
      <c r="O23" s="44"/>
      <c r="P23" s="44"/>
      <c r="Q23" s="44"/>
      <c r="R23" s="44"/>
      <c r="S23" s="44"/>
      <c r="W23" s="44"/>
      <c r="X23" s="78"/>
      <c r="Y23" s="44"/>
      <c r="Z23" s="78"/>
      <c r="AA23" s="44"/>
      <c r="AB23" s="78"/>
      <c r="AC23" s="44"/>
      <c r="AD23" s="78"/>
      <c r="AI23" s="44"/>
      <c r="AJ23" s="327"/>
      <c r="AK23" s="44"/>
      <c r="AL23" s="327"/>
      <c r="AM23" s="44"/>
      <c r="AN23" s="327"/>
      <c r="AO23" s="44"/>
      <c r="AS23" s="44"/>
      <c r="AT23" s="327"/>
      <c r="AU23" s="44"/>
      <c r="AV23" s="327"/>
      <c r="AW23" s="44"/>
      <c r="AX23" s="327"/>
      <c r="AY23" s="44"/>
      <c r="AZ23" s="327"/>
      <c r="BC23" s="114"/>
      <c r="BD23" s="115"/>
      <c r="BE23" s="120"/>
      <c r="BF23" s="117"/>
      <c r="BG23" s="118"/>
      <c r="BH23" s="80"/>
      <c r="BI23" s="54"/>
      <c r="BJ23" s="117"/>
      <c r="BK23" s="118"/>
      <c r="BL23" s="80"/>
      <c r="BM23" s="54"/>
      <c r="BN23" s="117"/>
      <c r="BO23" s="118"/>
      <c r="BP23" s="80"/>
      <c r="BQ23" s="54"/>
      <c r="BR23" s="117"/>
      <c r="BS23" s="118"/>
      <c r="BT23" s="80"/>
      <c r="BU23" s="54"/>
      <c r="BV23" s="117"/>
      <c r="BW23" s="118"/>
      <c r="BX23" s="80"/>
      <c r="BY23" s="119"/>
      <c r="BZ23" s="117"/>
      <c r="CA23" s="118"/>
      <c r="CB23" s="80"/>
      <c r="CC23" s="54"/>
      <c r="CD23" s="117"/>
      <c r="CE23" s="118"/>
      <c r="CF23" s="80"/>
      <c r="CG23" s="54"/>
      <c r="CH23" s="117"/>
      <c r="CI23" s="118"/>
      <c r="CJ23" s="80"/>
      <c r="CK23" s="54"/>
      <c r="CL23" s="117"/>
      <c r="CM23" s="118"/>
      <c r="CN23" s="80"/>
      <c r="CO23" s="54"/>
      <c r="CP23" s="117"/>
      <c r="CQ23" s="118"/>
      <c r="CR23" s="80"/>
      <c r="CS23" s="119"/>
    </row>
    <row r="24" spans="1:97" ht="16.5" customHeight="1" x14ac:dyDescent="0.25">
      <c r="A24" s="36" t="s">
        <v>238</v>
      </c>
      <c r="B24" s="10"/>
      <c r="C24" s="10"/>
      <c r="D24" s="57" t="str">
        <f>((BF24*100)&amp;"%"&amp;" time, "&amp;BG24&amp;" months, "&amp;BE24)</f>
        <v>0% time, 0 months, Summer</v>
      </c>
      <c r="E24" s="57"/>
      <c r="F24" s="16"/>
      <c r="G24" s="16"/>
      <c r="H24" s="58"/>
      <c r="I24" s="9"/>
      <c r="J24" s="78">
        <f>IF(BH24=0,0,($BC24/$BD24*BH24))</f>
        <v>0</v>
      </c>
      <c r="L24" s="78">
        <f>IF(BL24=0,0,($BC24*(1+$BD$7)/$BD24*BL24))</f>
        <v>0</v>
      </c>
      <c r="M24" s="44"/>
      <c r="N24" s="78">
        <f>IF(BP24=0,0,($BC24*(1+$BD$7)^2/$BD24*BP24))</f>
        <v>0</v>
      </c>
      <c r="O24" s="44"/>
      <c r="P24" s="78">
        <f>IF(BT24=0,0,($BC24*(1+$BD$7)^3/$BD24*BT24))</f>
        <v>0</v>
      </c>
      <c r="Q24" s="44"/>
      <c r="R24" s="78">
        <f>IF(BX24=0,0,($BC24*(1+$BD$7)^4/$BD24*BX24))</f>
        <v>0</v>
      </c>
      <c r="S24" s="44"/>
      <c r="T24" s="78">
        <f>IF(CB24=0,0,($BC24*(1+$BD$7)^5/$BD24*CB24))</f>
        <v>0</v>
      </c>
      <c r="V24" s="78">
        <f>IF(CF24=0,0,($BC24*(1+$BD$7)^6/$BD24*CF24))</f>
        <v>0</v>
      </c>
      <c r="W24" s="44"/>
      <c r="X24" s="78">
        <f t="shared" ref="X24:X64" si="2">IF(CJ24=0,0,($BC24*(1+$BD$7)^7/$BD24*CJ24))</f>
        <v>0</v>
      </c>
      <c r="Y24" s="44"/>
      <c r="Z24" s="78">
        <f t="shared" ref="Z24:Z64" si="3">IF(CN24=0,0,($BC24*(1+$BD$7)^8/$BD24*CN24))</f>
        <v>0</v>
      </c>
      <c r="AA24" s="44"/>
      <c r="AB24" s="78">
        <f t="shared" ref="AB24:AB64" si="4">IF(CR24=0,0,($BC24*(1+$BD$7)^9/$BD24*CR24))</f>
        <v>0</v>
      </c>
      <c r="AC24" s="78"/>
      <c r="AD24" s="78">
        <f>J24+L24+N24+P24+R24+T24+V24+X24+Z24+AB24</f>
        <v>0</v>
      </c>
      <c r="AE24" s="78"/>
      <c r="AF24" s="327">
        <f t="shared" si="0"/>
        <v>0</v>
      </c>
      <c r="AH24" s="327">
        <f t="shared" si="1"/>
        <v>0</v>
      </c>
      <c r="AI24" s="44"/>
      <c r="AJ24" s="327">
        <f t="shared" ref="AJ24:AJ64" si="5">IF(BP24=0,0,($BC24*(1+$BD$7)^2/$BD24*BP24))*0</f>
        <v>0</v>
      </c>
      <c r="AK24" s="44"/>
      <c r="AL24" s="327">
        <f t="shared" ref="AL24:AL64" si="6">IF(BT24=0,0,($BC24*(1+$BD$7)^3/$BD24*BT24))*0</f>
        <v>0</v>
      </c>
      <c r="AM24" s="44"/>
      <c r="AN24" s="327">
        <f t="shared" ref="AN24:AN64" si="7">IF(BX24=0,0,($BC24*(1+$BD$7)^4/$BD24*BX24))*0</f>
        <v>0</v>
      </c>
      <c r="AO24" s="44"/>
      <c r="AP24" s="327">
        <f t="shared" ref="AP24:AP64" si="8">IF(CB24=0,0,($BC24*(1+$BD$7)^5/$BD24*CB24))*0</f>
        <v>0</v>
      </c>
      <c r="AR24" s="327">
        <f t="shared" ref="AR24:AR64" si="9">IF(CF24=0,0,($BC24*(1+$BD$7)^6/$BD24*CF24))*0</f>
        <v>0</v>
      </c>
      <c r="AS24" s="44"/>
      <c r="AT24" s="327">
        <f t="shared" ref="AT24:AT64" si="10">IF(CJ24=0,0,($BC24*(1+$BD$7)^7/$BD24*CJ24))*0</f>
        <v>0</v>
      </c>
      <c r="AU24" s="44"/>
      <c r="AV24" s="327">
        <f t="shared" ref="AV24:AV64" si="11">IF(CN24=0,0,($BC24*(1+$BD$7)^8/$BD24*CN24))*0</f>
        <v>0</v>
      </c>
      <c r="AW24" s="44"/>
      <c r="AX24" s="327">
        <f t="shared" ref="AX24:AX64" si="12">IF(CR24=0,0,($BC24*(1+$BD$7)^9/$BD24*CR24))*0</f>
        <v>0</v>
      </c>
      <c r="AY24" s="78"/>
      <c r="AZ24" s="327">
        <f>AF24+AH24+AJ24+AL24+AN24+AP24+AR24+AT24+AV24+AX24</f>
        <v>0</v>
      </c>
      <c r="BC24" s="114"/>
      <c r="BD24" s="115">
        <v>9</v>
      </c>
      <c r="BE24" s="116" t="s">
        <v>87</v>
      </c>
      <c r="BF24" s="117">
        <v>0</v>
      </c>
      <c r="BG24" s="118">
        <v>0</v>
      </c>
      <c r="BH24" s="80">
        <f>BF24*BG24</f>
        <v>0</v>
      </c>
      <c r="BI24" s="54"/>
      <c r="BJ24" s="117">
        <f>IF($BD$15=1,0,BF24)</f>
        <v>0</v>
      </c>
      <c r="BK24" s="118">
        <f>IF($BD$15=1,0,BG24)</f>
        <v>0</v>
      </c>
      <c r="BL24" s="80">
        <f>BJ24*BK24</f>
        <v>0</v>
      </c>
      <c r="BM24" s="54"/>
      <c r="BN24" s="117">
        <f>IF($BD$15=2,0,BJ24)</f>
        <v>0</v>
      </c>
      <c r="BO24" s="118">
        <f>IF($BD$15=2,0,BK24)</f>
        <v>0</v>
      </c>
      <c r="BP24" s="80">
        <f>BN24*BO24</f>
        <v>0</v>
      </c>
      <c r="BQ24" s="54"/>
      <c r="BR24" s="117">
        <f>IF($BD$15=3,0,BN24)</f>
        <v>0</v>
      </c>
      <c r="BS24" s="118">
        <f>IF($BD$15=3,0,BO24)</f>
        <v>0</v>
      </c>
      <c r="BT24" s="80">
        <f>BR24*BS24</f>
        <v>0</v>
      </c>
      <c r="BU24" s="54"/>
      <c r="BV24" s="117">
        <f>IF($BD$15=4,0,BR24)</f>
        <v>0</v>
      </c>
      <c r="BW24" s="118">
        <f>IF($BD$15=4,0,BS24)</f>
        <v>0</v>
      </c>
      <c r="BX24" s="80">
        <f>BV24*BW24</f>
        <v>0</v>
      </c>
      <c r="BY24" s="119"/>
      <c r="BZ24" s="117">
        <f>IF($BD$15=5,0,BV24)</f>
        <v>0</v>
      </c>
      <c r="CA24" s="118">
        <f t="shared" ref="CA24:CA64" si="13">IF($BD$15=5,0,BW24)</f>
        <v>0</v>
      </c>
      <c r="CB24" s="80">
        <f>BZ24*CA24</f>
        <v>0</v>
      </c>
      <c r="CC24" s="54"/>
      <c r="CD24" s="117">
        <f t="shared" ref="CD24:CD62" si="14">IF($BD$15=6,0,BZ24)</f>
        <v>0</v>
      </c>
      <c r="CE24" s="118">
        <f t="shared" ref="CE24:CE64" si="15">IF($BD$15=6,0,CA24)</f>
        <v>0</v>
      </c>
      <c r="CF24" s="80">
        <f>CD24*CE24</f>
        <v>0</v>
      </c>
      <c r="CG24" s="54"/>
      <c r="CH24" s="117">
        <f t="shared" ref="CH24:CH64" si="16">IF($BD$15=7,0,CD24)</f>
        <v>0</v>
      </c>
      <c r="CI24" s="118">
        <f t="shared" ref="CI24:CI64" si="17">IF($BD$15=7,0,CE24)</f>
        <v>0</v>
      </c>
      <c r="CJ24" s="80">
        <f>CH24*CI24</f>
        <v>0</v>
      </c>
      <c r="CK24" s="54"/>
      <c r="CL24" s="117">
        <f t="shared" ref="CL24:CL64" si="18">IF($BD$15=8,0,CH24)</f>
        <v>0</v>
      </c>
      <c r="CM24" s="118">
        <f t="shared" ref="CM24:CM62" si="19">IF($BD$15=8,0,CI24)</f>
        <v>0</v>
      </c>
      <c r="CN24" s="80">
        <f>CL24*CM24</f>
        <v>0</v>
      </c>
      <c r="CO24" s="54"/>
      <c r="CP24" s="117">
        <f t="shared" ref="CP24:CP64" si="20">IF($BD$15=9,0,CL24)</f>
        <v>0</v>
      </c>
      <c r="CQ24" s="118">
        <f t="shared" ref="CQ24:CQ64" si="21">IF($BD$15=9,0,CM24)</f>
        <v>0</v>
      </c>
      <c r="CR24" s="80">
        <f>CP24*CQ24</f>
        <v>0</v>
      </c>
      <c r="CS24" s="119">
        <f t="shared" ref="CS24:CS64" si="22">BX24+BT24+BP24+BL24+BH24+CB24+CF24+CJ24+CN24+CR24</f>
        <v>0</v>
      </c>
    </row>
    <row r="25" spans="1:97" ht="16.5" customHeight="1" x14ac:dyDescent="0.25">
      <c r="A25" s="36"/>
      <c r="B25" s="10"/>
      <c r="C25" s="77" t="str">
        <f>"Co-PI: "&amp;E14</f>
        <v xml:space="preserve">Co-PI: </v>
      </c>
      <c r="H25" s="58"/>
      <c r="I25" s="9"/>
      <c r="L25" s="78" t="s">
        <v>221</v>
      </c>
      <c r="M25" s="44"/>
      <c r="N25" s="44"/>
      <c r="O25" s="44"/>
      <c r="P25" s="44"/>
      <c r="Q25" s="44"/>
      <c r="R25" s="44"/>
      <c r="S25" s="44"/>
      <c r="W25" s="44"/>
      <c r="X25" s="78"/>
      <c r="Y25" s="44"/>
      <c r="Z25" s="78"/>
      <c r="AA25" s="44"/>
      <c r="AB25" s="78"/>
      <c r="AC25" s="44"/>
      <c r="AD25" s="78"/>
      <c r="AE25" s="78"/>
      <c r="AI25" s="44"/>
      <c r="AJ25" s="327"/>
      <c r="AK25" s="44"/>
      <c r="AL25" s="327"/>
      <c r="AM25" s="44"/>
      <c r="AN25" s="327"/>
      <c r="AO25" s="44"/>
      <c r="AS25" s="44"/>
      <c r="AT25" s="327"/>
      <c r="AU25" s="44"/>
      <c r="AV25" s="327"/>
      <c r="AW25" s="44"/>
      <c r="AX25" s="327"/>
      <c r="AY25" s="44"/>
      <c r="AZ25" s="327"/>
      <c r="BC25" s="114"/>
      <c r="BD25" s="115"/>
      <c r="BE25" s="120"/>
      <c r="BF25" s="117"/>
      <c r="BG25" s="118"/>
      <c r="BH25" s="80"/>
      <c r="BI25" s="54"/>
      <c r="BJ25" s="117"/>
      <c r="BK25" s="118"/>
      <c r="BL25" s="80"/>
      <c r="BM25" s="54"/>
      <c r="BN25" s="117"/>
      <c r="BO25" s="118"/>
      <c r="BP25" s="80"/>
      <c r="BQ25" s="54"/>
      <c r="BR25" s="117"/>
      <c r="BS25" s="118"/>
      <c r="BT25" s="80"/>
      <c r="BU25" s="54"/>
      <c r="BV25" s="117"/>
      <c r="BW25" s="118"/>
      <c r="BX25" s="80"/>
      <c r="BY25" s="119"/>
      <c r="BZ25" s="117"/>
      <c r="CA25" s="118"/>
      <c r="CB25" s="80"/>
      <c r="CC25" s="54"/>
      <c r="CD25" s="117"/>
      <c r="CE25" s="118"/>
      <c r="CF25" s="80"/>
      <c r="CG25" s="54"/>
      <c r="CH25" s="117"/>
      <c r="CI25" s="118"/>
      <c r="CJ25" s="80"/>
      <c r="CK25" s="54"/>
      <c r="CL25" s="117"/>
      <c r="CM25" s="118"/>
      <c r="CN25" s="80"/>
      <c r="CO25" s="54"/>
      <c r="CP25" s="117"/>
      <c r="CQ25" s="118"/>
      <c r="CR25" s="80"/>
      <c r="CS25" s="119"/>
    </row>
    <row r="26" spans="1:97" ht="16.5" customHeight="1" x14ac:dyDescent="0.25">
      <c r="A26" s="36" t="s">
        <v>238</v>
      </c>
      <c r="B26" s="10"/>
      <c r="D26" s="57" t="str">
        <f>((BF26*100)&amp;"%"&amp;" time, "&amp;BG26&amp;" months, "&amp;BE26)</f>
        <v>0% time, 0 months, Summer</v>
      </c>
      <c r="E26" s="57"/>
      <c r="H26" s="58"/>
      <c r="I26" s="9"/>
      <c r="J26" s="78">
        <f>IF(BH26=0,0,($BC26/$BD26*BH26))</f>
        <v>0</v>
      </c>
      <c r="L26" s="78">
        <f>IF(BL26=0,0,($BC26*(1+$BD$7)/$BD26*BL26))</f>
        <v>0</v>
      </c>
      <c r="M26" s="44"/>
      <c r="N26" s="78">
        <f>IF(BP26=0,0,($BC26*(1+$BD$7)^2/$BD26*BP26))</f>
        <v>0</v>
      </c>
      <c r="O26" s="44"/>
      <c r="P26" s="78">
        <f>IF(BT26=0,0,($BC26*(1+$BD$7)^3/$BD26*BT26))</f>
        <v>0</v>
      </c>
      <c r="Q26" s="44"/>
      <c r="R26" s="78">
        <f>IF(BX26=0,0,($BC26*(1+$BD$7)^4/$BD26*BX26))</f>
        <v>0</v>
      </c>
      <c r="S26" s="44"/>
      <c r="T26" s="78">
        <f>IF(CB26=0,0,($BC26*(1+$BD$7)^5/$BD26*CB26))</f>
        <v>0</v>
      </c>
      <c r="V26" s="78">
        <f>IF(CF26=0,0,($BC26*(1+$BD$7)^6/$BD26*CF26))</f>
        <v>0</v>
      </c>
      <c r="W26" s="44"/>
      <c r="X26" s="78">
        <f t="shared" si="2"/>
        <v>0</v>
      </c>
      <c r="Y26" s="44"/>
      <c r="Z26" s="78">
        <f t="shared" si="3"/>
        <v>0</v>
      </c>
      <c r="AA26" s="44"/>
      <c r="AB26" s="78">
        <f t="shared" si="4"/>
        <v>0</v>
      </c>
      <c r="AC26" s="78"/>
      <c r="AD26" s="78">
        <f>J26+L26+N26+P26+R26+T26+V26+X26+Z26+AB26</f>
        <v>0</v>
      </c>
      <c r="AE26" s="78"/>
      <c r="AF26" s="327">
        <f t="shared" si="0"/>
        <v>0</v>
      </c>
      <c r="AH26" s="327">
        <f t="shared" si="1"/>
        <v>0</v>
      </c>
      <c r="AI26" s="44"/>
      <c r="AJ26" s="327">
        <f t="shared" si="5"/>
        <v>0</v>
      </c>
      <c r="AK26" s="44"/>
      <c r="AL26" s="327">
        <f t="shared" si="6"/>
        <v>0</v>
      </c>
      <c r="AM26" s="44"/>
      <c r="AN26" s="327">
        <f t="shared" si="7"/>
        <v>0</v>
      </c>
      <c r="AO26" s="44"/>
      <c r="AP26" s="327">
        <f t="shared" si="8"/>
        <v>0</v>
      </c>
      <c r="AR26" s="327">
        <f t="shared" si="9"/>
        <v>0</v>
      </c>
      <c r="AS26" s="44"/>
      <c r="AT26" s="327">
        <f t="shared" si="10"/>
        <v>0</v>
      </c>
      <c r="AU26" s="44"/>
      <c r="AV26" s="327">
        <f t="shared" si="11"/>
        <v>0</v>
      </c>
      <c r="AW26" s="44"/>
      <c r="AX26" s="327">
        <f t="shared" si="12"/>
        <v>0</v>
      </c>
      <c r="AY26" s="78"/>
      <c r="AZ26" s="327">
        <f>AF26+AH26+AJ26+AL26+AN26+AP26+AR26+AT26+AV26+AX26</f>
        <v>0</v>
      </c>
      <c r="BC26" s="114"/>
      <c r="BD26" s="115">
        <v>9</v>
      </c>
      <c r="BE26" s="116" t="s">
        <v>87</v>
      </c>
      <c r="BF26" s="117">
        <v>0</v>
      </c>
      <c r="BG26" s="118">
        <v>0</v>
      </c>
      <c r="BH26" s="80">
        <f>BF26*BG26</f>
        <v>0</v>
      </c>
      <c r="BI26" s="54"/>
      <c r="BJ26" s="117">
        <f>IF($BD$15=1,0,BF26)</f>
        <v>0</v>
      </c>
      <c r="BK26" s="118">
        <f>IF($BD$15=1,0,BG26)</f>
        <v>0</v>
      </c>
      <c r="BL26" s="80">
        <f>BJ26*BK26</f>
        <v>0</v>
      </c>
      <c r="BM26" s="54"/>
      <c r="BN26" s="117">
        <f>IF($BD$15=2,0,BJ26)</f>
        <v>0</v>
      </c>
      <c r="BO26" s="118">
        <f>IF($BD$15=2,0,BK26)</f>
        <v>0</v>
      </c>
      <c r="BP26" s="80">
        <f>BN26*BO26</f>
        <v>0</v>
      </c>
      <c r="BQ26" s="54"/>
      <c r="BR26" s="117">
        <f>IF($BD$15=3,0,BN26)</f>
        <v>0</v>
      </c>
      <c r="BS26" s="118">
        <f>IF($BD$15=3,0,BO26)</f>
        <v>0</v>
      </c>
      <c r="BT26" s="80">
        <f>BR26*BS26</f>
        <v>0</v>
      </c>
      <c r="BU26" s="54"/>
      <c r="BV26" s="117">
        <f>IF($BD$15=4,0,BR26)</f>
        <v>0</v>
      </c>
      <c r="BW26" s="118">
        <f>IF($BD$15=4,0,BS26)</f>
        <v>0</v>
      </c>
      <c r="BX26" s="80">
        <f>BV26*BW26</f>
        <v>0</v>
      </c>
      <c r="BY26" s="119"/>
      <c r="BZ26" s="117">
        <f>IF($BD$15=5,0,BV26)</f>
        <v>0</v>
      </c>
      <c r="CA26" s="118">
        <f t="shared" si="13"/>
        <v>0</v>
      </c>
      <c r="CB26" s="80">
        <f>BZ26*CA26</f>
        <v>0</v>
      </c>
      <c r="CC26" s="54"/>
      <c r="CD26" s="117">
        <f t="shared" si="14"/>
        <v>0</v>
      </c>
      <c r="CE26" s="118">
        <f>IF($BD$15=6,0,CA26)</f>
        <v>0</v>
      </c>
      <c r="CF26" s="80">
        <f>CD26*CE26</f>
        <v>0</v>
      </c>
      <c r="CG26" s="54"/>
      <c r="CH26" s="117">
        <f t="shared" si="16"/>
        <v>0</v>
      </c>
      <c r="CI26" s="118">
        <f t="shared" si="17"/>
        <v>0</v>
      </c>
      <c r="CJ26" s="80">
        <f>CH26*CI26</f>
        <v>0</v>
      </c>
      <c r="CK26" s="54"/>
      <c r="CL26" s="117">
        <f t="shared" si="18"/>
        <v>0</v>
      </c>
      <c r="CM26" s="118">
        <f t="shared" si="19"/>
        <v>0</v>
      </c>
      <c r="CN26" s="80">
        <f>CL26*CM26</f>
        <v>0</v>
      </c>
      <c r="CO26" s="54"/>
      <c r="CP26" s="117">
        <f t="shared" si="20"/>
        <v>0</v>
      </c>
      <c r="CQ26" s="118">
        <f t="shared" si="21"/>
        <v>0</v>
      </c>
      <c r="CR26" s="80">
        <f>CP26*CQ26</f>
        <v>0</v>
      </c>
      <c r="CS26" s="119">
        <f t="shared" si="22"/>
        <v>0</v>
      </c>
    </row>
    <row r="27" spans="1:97" ht="16.5" customHeight="1" x14ac:dyDescent="0.25">
      <c r="A27" s="36"/>
      <c r="B27" s="10"/>
      <c r="C27" s="77" t="str">
        <f>"Co-PI: "&amp;E15</f>
        <v xml:space="preserve">Co-PI: </v>
      </c>
      <c r="H27" s="58"/>
      <c r="I27" s="9"/>
      <c r="M27" s="44"/>
      <c r="N27" s="44"/>
      <c r="O27" s="44"/>
      <c r="P27" s="44"/>
      <c r="Q27" s="44"/>
      <c r="R27" s="44"/>
      <c r="S27" s="44"/>
      <c r="W27" s="44"/>
      <c r="X27" s="78"/>
      <c r="Y27" s="44"/>
      <c r="Z27" s="78"/>
      <c r="AA27" s="44"/>
      <c r="AB27" s="78"/>
      <c r="AC27" s="44"/>
      <c r="AD27" s="78"/>
      <c r="AE27" s="78"/>
      <c r="AI27" s="44"/>
      <c r="AJ27" s="327"/>
      <c r="AK27" s="44"/>
      <c r="AL27" s="327"/>
      <c r="AM27" s="44"/>
      <c r="AN27" s="327"/>
      <c r="AO27" s="44"/>
      <c r="AS27" s="44"/>
      <c r="AT27" s="327"/>
      <c r="AU27" s="44"/>
      <c r="AV27" s="327"/>
      <c r="AW27" s="44"/>
      <c r="AX27" s="327"/>
      <c r="AY27" s="44"/>
      <c r="AZ27" s="327"/>
      <c r="BC27" s="114"/>
      <c r="BD27" s="115"/>
      <c r="BE27" s="120"/>
      <c r="BF27" s="117"/>
      <c r="BG27" s="118"/>
      <c r="BH27" s="80"/>
      <c r="BI27" s="54"/>
      <c r="BJ27" s="117"/>
      <c r="BK27" s="118"/>
      <c r="BL27" s="80"/>
      <c r="BM27" s="54"/>
      <c r="BN27" s="117"/>
      <c r="BO27" s="118"/>
      <c r="BP27" s="80"/>
      <c r="BQ27" s="54"/>
      <c r="BR27" s="117"/>
      <c r="BS27" s="118"/>
      <c r="BT27" s="80"/>
      <c r="BU27" s="54"/>
      <c r="BV27" s="117"/>
      <c r="BW27" s="118"/>
      <c r="BX27" s="80"/>
      <c r="BY27" s="119"/>
      <c r="BZ27" s="117"/>
      <c r="CA27" s="118"/>
      <c r="CB27" s="80"/>
      <c r="CC27" s="54"/>
      <c r="CD27" s="117"/>
      <c r="CE27" s="118"/>
      <c r="CF27" s="80"/>
      <c r="CG27" s="54"/>
      <c r="CH27" s="117"/>
      <c r="CI27" s="118"/>
      <c r="CJ27" s="80"/>
      <c r="CK27" s="54"/>
      <c r="CL27" s="117"/>
      <c r="CM27" s="118"/>
      <c r="CN27" s="80"/>
      <c r="CO27" s="54"/>
      <c r="CP27" s="117"/>
      <c r="CQ27" s="118"/>
      <c r="CR27" s="80"/>
      <c r="CS27" s="119"/>
    </row>
    <row r="28" spans="1:97" ht="16.5" customHeight="1" x14ac:dyDescent="0.25">
      <c r="A28" s="36" t="s">
        <v>238</v>
      </c>
      <c r="B28" s="10"/>
      <c r="D28" s="57" t="str">
        <f>((BF28*100)&amp;"%"&amp;" time, "&amp;BG28&amp;" months, "&amp;BE28)</f>
        <v>0% time, 0 months, Summer</v>
      </c>
      <c r="E28" s="57"/>
      <c r="H28" s="58"/>
      <c r="I28" s="9"/>
      <c r="J28" s="78">
        <f>IF(BH28=0,0,($BC28/$BD28*BH28))</f>
        <v>0</v>
      </c>
      <c r="L28" s="78">
        <f>IF(BL28=0,0,($BC28*(1+$BD$7)/$BD28*BL28))</f>
        <v>0</v>
      </c>
      <c r="M28" s="44"/>
      <c r="N28" s="78">
        <f>IF(BP28=0,0,($BC28*(1+$BD$7)^2/$BD28*BP28))</f>
        <v>0</v>
      </c>
      <c r="O28" s="44"/>
      <c r="P28" s="78">
        <f>IF(BT28=0,0,($BC28*(1+$BD$7)^3/$BD28*BT28))</f>
        <v>0</v>
      </c>
      <c r="Q28" s="44"/>
      <c r="R28" s="78">
        <f>IF(BX28=0,0,($BC28*(1+$BD$7)^4/$BD28*BX28))</f>
        <v>0</v>
      </c>
      <c r="S28" s="44"/>
      <c r="T28" s="78">
        <f>IF(CB28=0,0,($BC28*(1+$BD$7)^5/$BD28*CB28))</f>
        <v>0</v>
      </c>
      <c r="V28" s="78">
        <f>IF(CF28=0,0,($BC28*(1+$BD$7)^6/$BD28*CF28))</f>
        <v>0</v>
      </c>
      <c r="W28" s="44"/>
      <c r="X28" s="78">
        <f t="shared" si="2"/>
        <v>0</v>
      </c>
      <c r="Y28" s="44"/>
      <c r="Z28" s="78">
        <f t="shared" si="3"/>
        <v>0</v>
      </c>
      <c r="AA28" s="44"/>
      <c r="AB28" s="78">
        <f t="shared" si="4"/>
        <v>0</v>
      </c>
      <c r="AC28" s="78"/>
      <c r="AD28" s="78">
        <f>J28+L28+N28+P28+R28+T28+V28+X28+Z28+AB28</f>
        <v>0</v>
      </c>
      <c r="AE28" s="78"/>
      <c r="AF28" s="327">
        <f t="shared" si="0"/>
        <v>0</v>
      </c>
      <c r="AH28" s="327">
        <f t="shared" si="1"/>
        <v>0</v>
      </c>
      <c r="AI28" s="44"/>
      <c r="AJ28" s="327">
        <f t="shared" si="5"/>
        <v>0</v>
      </c>
      <c r="AK28" s="44"/>
      <c r="AL28" s="327">
        <f t="shared" si="6"/>
        <v>0</v>
      </c>
      <c r="AM28" s="44"/>
      <c r="AN28" s="327">
        <f t="shared" si="7"/>
        <v>0</v>
      </c>
      <c r="AO28" s="44"/>
      <c r="AP28" s="327">
        <f t="shared" si="8"/>
        <v>0</v>
      </c>
      <c r="AR28" s="327">
        <f t="shared" si="9"/>
        <v>0</v>
      </c>
      <c r="AS28" s="44"/>
      <c r="AT28" s="327">
        <f t="shared" si="10"/>
        <v>0</v>
      </c>
      <c r="AU28" s="44"/>
      <c r="AV28" s="327">
        <f t="shared" si="11"/>
        <v>0</v>
      </c>
      <c r="AW28" s="44"/>
      <c r="AX28" s="327">
        <f t="shared" si="12"/>
        <v>0</v>
      </c>
      <c r="AY28" s="78"/>
      <c r="AZ28" s="327">
        <f>AF28+AH28+AJ28+AL28+AN28+AP28+AR28+AT28+AV28+AX28</f>
        <v>0</v>
      </c>
      <c r="BC28" s="114"/>
      <c r="BD28" s="115">
        <v>9</v>
      </c>
      <c r="BE28" s="116" t="s">
        <v>87</v>
      </c>
      <c r="BF28" s="117">
        <v>0</v>
      </c>
      <c r="BG28" s="118">
        <v>0</v>
      </c>
      <c r="BH28" s="80">
        <f>BF28*BG28</f>
        <v>0</v>
      </c>
      <c r="BI28" s="54"/>
      <c r="BJ28" s="117">
        <f>IF($BD$15=1,0,BF28)</f>
        <v>0</v>
      </c>
      <c r="BK28" s="118">
        <f>IF($BD$15=1,0,BG28)</f>
        <v>0</v>
      </c>
      <c r="BL28" s="80">
        <f>BJ28*BK28</f>
        <v>0</v>
      </c>
      <c r="BM28" s="54"/>
      <c r="BN28" s="117">
        <f>IF($BD$15=2,0,BJ28)</f>
        <v>0</v>
      </c>
      <c r="BO28" s="118">
        <f>IF($BD$15=2,0,BK28)</f>
        <v>0</v>
      </c>
      <c r="BP28" s="80">
        <f>BN28*BO28</f>
        <v>0</v>
      </c>
      <c r="BQ28" s="54"/>
      <c r="BR28" s="117">
        <f>IF($BD$15=3,0,BN28)</f>
        <v>0</v>
      </c>
      <c r="BS28" s="118">
        <f>IF($BD$15=3,0,BO28)</f>
        <v>0</v>
      </c>
      <c r="BT28" s="80">
        <f>BR28*BS28</f>
        <v>0</v>
      </c>
      <c r="BU28" s="54"/>
      <c r="BV28" s="117">
        <f>IF($BD$15=4,0,BR28)</f>
        <v>0</v>
      </c>
      <c r="BW28" s="118">
        <f>IF($BD$15=4,0,BS28)</f>
        <v>0</v>
      </c>
      <c r="BX28" s="80">
        <f>BV28*BW28</f>
        <v>0</v>
      </c>
      <c r="BY28" s="119"/>
      <c r="BZ28" s="117">
        <f t="shared" ref="BZ28:BZ62" si="23">IF($BD$15=5,0,BV28)</f>
        <v>0</v>
      </c>
      <c r="CA28" s="118">
        <f t="shared" si="13"/>
        <v>0</v>
      </c>
      <c r="CB28" s="80">
        <f>BZ28*CA28</f>
        <v>0</v>
      </c>
      <c r="CC28" s="54"/>
      <c r="CD28" s="117">
        <f t="shared" si="14"/>
        <v>0</v>
      </c>
      <c r="CE28" s="118">
        <f t="shared" si="15"/>
        <v>0</v>
      </c>
      <c r="CF28" s="80">
        <f>CD28*CE28</f>
        <v>0</v>
      </c>
      <c r="CG28" s="54"/>
      <c r="CH28" s="117">
        <f t="shared" si="16"/>
        <v>0</v>
      </c>
      <c r="CI28" s="118">
        <f t="shared" si="17"/>
        <v>0</v>
      </c>
      <c r="CJ28" s="80">
        <f>CH28*CI28</f>
        <v>0</v>
      </c>
      <c r="CK28" s="54"/>
      <c r="CL28" s="117">
        <f t="shared" si="18"/>
        <v>0</v>
      </c>
      <c r="CM28" s="118">
        <f t="shared" si="19"/>
        <v>0</v>
      </c>
      <c r="CN28" s="80">
        <f>CL28*CM28</f>
        <v>0</v>
      </c>
      <c r="CO28" s="54"/>
      <c r="CP28" s="117">
        <f t="shared" si="20"/>
        <v>0</v>
      </c>
      <c r="CQ28" s="118">
        <f t="shared" si="21"/>
        <v>0</v>
      </c>
      <c r="CR28" s="80">
        <f>CP28*CQ28</f>
        <v>0</v>
      </c>
      <c r="CS28" s="119">
        <f t="shared" si="22"/>
        <v>0</v>
      </c>
    </row>
    <row r="29" spans="1:97" ht="16.5" customHeight="1" x14ac:dyDescent="0.25">
      <c r="A29" s="36"/>
      <c r="B29" s="10"/>
      <c r="C29" s="77" t="str">
        <f>"Co-PI: "&amp;E16</f>
        <v xml:space="preserve">Co-PI: </v>
      </c>
      <c r="H29" s="58"/>
      <c r="I29" s="9"/>
      <c r="M29" s="44"/>
      <c r="N29" s="44"/>
      <c r="O29" s="44"/>
      <c r="P29" s="44"/>
      <c r="Q29" s="44"/>
      <c r="R29" s="44"/>
      <c r="S29" s="44"/>
      <c r="W29" s="44"/>
      <c r="X29" s="78"/>
      <c r="Y29" s="44"/>
      <c r="Z29" s="78"/>
      <c r="AA29" s="44"/>
      <c r="AB29" s="78"/>
      <c r="AC29" s="44"/>
      <c r="AD29" s="78"/>
      <c r="AE29" s="78"/>
      <c r="AI29" s="44"/>
      <c r="AJ29" s="327"/>
      <c r="AK29" s="44"/>
      <c r="AL29" s="327"/>
      <c r="AM29" s="44"/>
      <c r="AN29" s="327"/>
      <c r="AO29" s="44"/>
      <c r="AS29" s="44"/>
      <c r="AT29" s="327"/>
      <c r="AU29" s="44"/>
      <c r="AV29" s="327"/>
      <c r="AW29" s="44"/>
      <c r="AX29" s="327"/>
      <c r="AY29" s="44"/>
      <c r="AZ29" s="327"/>
      <c r="BC29" s="114"/>
      <c r="BD29" s="115"/>
      <c r="BE29" s="120"/>
      <c r="BF29" s="117"/>
      <c r="BG29" s="118"/>
      <c r="BH29" s="80"/>
      <c r="BI29" s="54"/>
      <c r="BJ29" s="117"/>
      <c r="BK29" s="118"/>
      <c r="BL29" s="80"/>
      <c r="BM29" s="54"/>
      <c r="BN29" s="117"/>
      <c r="BO29" s="118"/>
      <c r="BP29" s="80"/>
      <c r="BQ29" s="54"/>
      <c r="BR29" s="117"/>
      <c r="BS29" s="118"/>
      <c r="BT29" s="80"/>
      <c r="BU29" s="54"/>
      <c r="BV29" s="117"/>
      <c r="BW29" s="118"/>
      <c r="BX29" s="80"/>
      <c r="BY29" s="119"/>
      <c r="BZ29" s="117"/>
      <c r="CA29" s="118"/>
      <c r="CB29" s="80"/>
      <c r="CC29" s="54"/>
      <c r="CD29" s="117"/>
      <c r="CE29" s="118"/>
      <c r="CF29" s="80"/>
      <c r="CG29" s="54"/>
      <c r="CH29" s="117"/>
      <c r="CI29" s="118"/>
      <c r="CJ29" s="80"/>
      <c r="CK29" s="54"/>
      <c r="CL29" s="117"/>
      <c r="CM29" s="118"/>
      <c r="CN29" s="80"/>
      <c r="CO29" s="54"/>
      <c r="CP29" s="117"/>
      <c r="CQ29" s="118"/>
      <c r="CR29" s="80"/>
      <c r="CS29" s="119"/>
    </row>
    <row r="30" spans="1:97" ht="16.5" customHeight="1" x14ac:dyDescent="0.25">
      <c r="A30" s="36" t="s">
        <v>238</v>
      </c>
      <c r="B30" s="10"/>
      <c r="D30" s="57" t="str">
        <f>((BF30*100)&amp;"%"&amp;" time, "&amp;BG30&amp;" months, "&amp;BE30)</f>
        <v>0% time, 0 months, Summer</v>
      </c>
      <c r="E30" s="57"/>
      <c r="H30" s="58"/>
      <c r="I30" s="9"/>
      <c r="J30" s="78">
        <f>IF(BH30=0,0,($BC30/$BD30*BH30))</f>
        <v>0</v>
      </c>
      <c r="L30" s="78">
        <f>IF(BL30=0,0,($BC30*(1+$BD$7)/$BD30*BL30))</f>
        <v>0</v>
      </c>
      <c r="M30" s="44"/>
      <c r="N30" s="78">
        <f>IF(BP30=0,0,($BC30*(1+$BD$7)^2/$BD30*BP30))</f>
        <v>0</v>
      </c>
      <c r="O30" s="44"/>
      <c r="P30" s="78">
        <f>IF(BT30=0,0,($BC30*(1+$BD$7)^3/$BD30*BT30))</f>
        <v>0</v>
      </c>
      <c r="Q30" s="44"/>
      <c r="R30" s="78">
        <f>IF(BX30=0,0,($BC30*(1+$BD$7)^4/$BD30*BX30))</f>
        <v>0</v>
      </c>
      <c r="S30" s="44"/>
      <c r="T30" s="78">
        <f>IF(CB30=0,0,($BC30*(1+$BD$7)^5/$BD30*CB30))</f>
        <v>0</v>
      </c>
      <c r="V30" s="78">
        <f>IF(CF30=0,0,($BC30*(1+$BD$7)^6/$BD30*CF30))</f>
        <v>0</v>
      </c>
      <c r="W30" s="44"/>
      <c r="X30" s="78">
        <f t="shared" si="2"/>
        <v>0</v>
      </c>
      <c r="Y30" s="44"/>
      <c r="Z30" s="78">
        <f t="shared" si="3"/>
        <v>0</v>
      </c>
      <c r="AA30" s="44"/>
      <c r="AB30" s="78">
        <f t="shared" si="4"/>
        <v>0</v>
      </c>
      <c r="AC30" s="78"/>
      <c r="AD30" s="78">
        <f>J30+L30+N30+P30+R30+T30+V30+X30+Z30+AB30</f>
        <v>0</v>
      </c>
      <c r="AE30" s="78"/>
      <c r="AF30" s="327">
        <f t="shared" si="0"/>
        <v>0</v>
      </c>
      <c r="AH30" s="327">
        <f t="shared" si="1"/>
        <v>0</v>
      </c>
      <c r="AI30" s="44"/>
      <c r="AJ30" s="327">
        <f t="shared" si="5"/>
        <v>0</v>
      </c>
      <c r="AK30" s="44"/>
      <c r="AL30" s="327">
        <f t="shared" si="6"/>
        <v>0</v>
      </c>
      <c r="AM30" s="44"/>
      <c r="AN30" s="327">
        <f t="shared" si="7"/>
        <v>0</v>
      </c>
      <c r="AO30" s="44"/>
      <c r="AP30" s="327">
        <f t="shared" si="8"/>
        <v>0</v>
      </c>
      <c r="AR30" s="327">
        <f t="shared" si="9"/>
        <v>0</v>
      </c>
      <c r="AS30" s="44"/>
      <c r="AT30" s="327">
        <f t="shared" si="10"/>
        <v>0</v>
      </c>
      <c r="AU30" s="44"/>
      <c r="AV30" s="327">
        <f t="shared" si="11"/>
        <v>0</v>
      </c>
      <c r="AW30" s="44"/>
      <c r="AX30" s="327">
        <f t="shared" si="12"/>
        <v>0</v>
      </c>
      <c r="AY30" s="78"/>
      <c r="AZ30" s="327">
        <f>AF30+AH30+AJ30+AL30+AN30+AP30+AR30+AT30+AV30+AX30</f>
        <v>0</v>
      </c>
      <c r="BC30" s="114"/>
      <c r="BD30" s="115">
        <v>9</v>
      </c>
      <c r="BE30" s="116" t="s">
        <v>87</v>
      </c>
      <c r="BF30" s="117">
        <v>0</v>
      </c>
      <c r="BG30" s="118">
        <v>0</v>
      </c>
      <c r="BH30" s="80">
        <f>BF30*BG30</f>
        <v>0</v>
      </c>
      <c r="BI30" s="54"/>
      <c r="BJ30" s="117">
        <f>IF($BD$15=1,0,BF30)</f>
        <v>0</v>
      </c>
      <c r="BK30" s="118">
        <f>IF($BD$15=1,0,BG30)</f>
        <v>0</v>
      </c>
      <c r="BL30" s="80">
        <f>BJ30*BK30</f>
        <v>0</v>
      </c>
      <c r="BM30" s="54"/>
      <c r="BN30" s="117">
        <f>IF($BD$15=2,0,BJ30)</f>
        <v>0</v>
      </c>
      <c r="BO30" s="118">
        <f>IF($BD$15=2,0,BK30)</f>
        <v>0</v>
      </c>
      <c r="BP30" s="80">
        <f>BN30*BO30</f>
        <v>0</v>
      </c>
      <c r="BQ30" s="54"/>
      <c r="BR30" s="117">
        <f>IF($BD$15=3,0,BN30)</f>
        <v>0</v>
      </c>
      <c r="BS30" s="118">
        <f>IF($BD$15=3,0,BO30)</f>
        <v>0</v>
      </c>
      <c r="BT30" s="80">
        <f>BR30*BS30</f>
        <v>0</v>
      </c>
      <c r="BU30" s="54"/>
      <c r="BV30" s="117">
        <f>IF($BD$15=4,0,BR30)</f>
        <v>0</v>
      </c>
      <c r="BW30" s="118">
        <f>IF($BD$15=4,0,BS30)</f>
        <v>0</v>
      </c>
      <c r="BX30" s="80">
        <f>BV30*BW30</f>
        <v>0</v>
      </c>
      <c r="BY30" s="119"/>
      <c r="BZ30" s="117">
        <f t="shared" si="23"/>
        <v>0</v>
      </c>
      <c r="CA30" s="118">
        <f t="shared" si="13"/>
        <v>0</v>
      </c>
      <c r="CB30" s="80">
        <f>BZ30*CA30</f>
        <v>0</v>
      </c>
      <c r="CC30" s="54"/>
      <c r="CD30" s="117">
        <f t="shared" si="14"/>
        <v>0</v>
      </c>
      <c r="CE30" s="118">
        <f t="shared" si="15"/>
        <v>0</v>
      </c>
      <c r="CF30" s="80">
        <f>CD30*CE30</f>
        <v>0</v>
      </c>
      <c r="CG30" s="54"/>
      <c r="CH30" s="117">
        <f t="shared" si="16"/>
        <v>0</v>
      </c>
      <c r="CI30" s="118">
        <f t="shared" si="17"/>
        <v>0</v>
      </c>
      <c r="CJ30" s="80">
        <f>CH30*CI30</f>
        <v>0</v>
      </c>
      <c r="CK30" s="54"/>
      <c r="CL30" s="117">
        <f t="shared" si="18"/>
        <v>0</v>
      </c>
      <c r="CM30" s="118">
        <f t="shared" si="19"/>
        <v>0</v>
      </c>
      <c r="CN30" s="80">
        <f>CL30*CM30</f>
        <v>0</v>
      </c>
      <c r="CO30" s="54"/>
      <c r="CP30" s="117">
        <f t="shared" si="20"/>
        <v>0</v>
      </c>
      <c r="CQ30" s="118">
        <f t="shared" si="21"/>
        <v>0</v>
      </c>
      <c r="CR30" s="80">
        <f>CP30*CQ30</f>
        <v>0</v>
      </c>
      <c r="CS30" s="119">
        <f t="shared" si="22"/>
        <v>0</v>
      </c>
    </row>
    <row r="31" spans="1:97" ht="16.5" customHeight="1" x14ac:dyDescent="0.25">
      <c r="A31" s="36"/>
      <c r="B31" s="10"/>
      <c r="C31" s="77" t="s">
        <v>91</v>
      </c>
      <c r="H31" s="58"/>
      <c r="I31" s="9"/>
      <c r="M31" s="44"/>
      <c r="N31" s="44"/>
      <c r="O31" s="44"/>
      <c r="P31" s="44"/>
      <c r="Q31" s="44"/>
      <c r="R31" s="44"/>
      <c r="S31" s="44"/>
      <c r="W31" s="44"/>
      <c r="X31" s="78"/>
      <c r="Y31" s="44"/>
      <c r="Z31" s="78"/>
      <c r="AA31" s="44"/>
      <c r="AB31" s="78"/>
      <c r="AC31" s="44"/>
      <c r="AD31" s="78"/>
      <c r="AE31" s="78"/>
      <c r="AI31" s="44"/>
      <c r="AJ31" s="327"/>
      <c r="AK31" s="44"/>
      <c r="AL31" s="327"/>
      <c r="AM31" s="44"/>
      <c r="AN31" s="327"/>
      <c r="AO31" s="44"/>
      <c r="AS31" s="44"/>
      <c r="AT31" s="327"/>
      <c r="AU31" s="44"/>
      <c r="AV31" s="327"/>
      <c r="AW31" s="44"/>
      <c r="AX31" s="327"/>
      <c r="AY31" s="44"/>
      <c r="AZ31" s="327"/>
      <c r="BC31" s="114"/>
      <c r="BD31" s="115"/>
      <c r="BE31" s="120"/>
      <c r="BF31" s="117"/>
      <c r="BG31" s="118"/>
      <c r="BH31" s="80"/>
      <c r="BI31" s="54"/>
      <c r="BJ31" s="117"/>
      <c r="BK31" s="118"/>
      <c r="BL31" s="80"/>
      <c r="BM31" s="54"/>
      <c r="BN31" s="117"/>
      <c r="BO31" s="118"/>
      <c r="BP31" s="80"/>
      <c r="BQ31" s="54"/>
      <c r="BR31" s="117"/>
      <c r="BS31" s="118"/>
      <c r="BT31" s="80"/>
      <c r="BU31" s="54"/>
      <c r="BV31" s="117"/>
      <c r="BW31" s="118"/>
      <c r="BX31" s="80"/>
      <c r="BY31" s="119"/>
      <c r="BZ31" s="117"/>
      <c r="CA31" s="118"/>
      <c r="CB31" s="80"/>
      <c r="CC31" s="54"/>
      <c r="CD31" s="117"/>
      <c r="CE31" s="118"/>
      <c r="CF31" s="80"/>
      <c r="CG31" s="54"/>
      <c r="CH31" s="117"/>
      <c r="CI31" s="118"/>
      <c r="CJ31" s="80"/>
      <c r="CK31" s="54"/>
      <c r="CL31" s="117"/>
      <c r="CM31" s="118"/>
      <c r="CN31" s="80"/>
      <c r="CO31" s="54"/>
      <c r="CP31" s="117"/>
      <c r="CQ31" s="118"/>
      <c r="CR31" s="80"/>
      <c r="CS31" s="119"/>
    </row>
    <row r="32" spans="1:97" ht="16.5" customHeight="1" x14ac:dyDescent="0.25">
      <c r="A32" s="36" t="s">
        <v>249</v>
      </c>
      <c r="B32" s="10"/>
      <c r="D32" s="57" t="str">
        <f>((BF32*100)&amp;"%"&amp;" time, "&amp;BG32&amp;" months, "&amp;BE32)</f>
        <v>0% time, 12 months, CY</v>
      </c>
      <c r="E32" s="57"/>
      <c r="H32" s="58"/>
      <c r="I32" s="9"/>
      <c r="J32" s="78">
        <f>IF(BH32=0,0,($BC32/$BD32*BH32))</f>
        <v>0</v>
      </c>
      <c r="L32" s="78">
        <f>IF(BL32=0,0,($BC32*(1+$BD$7)/$BD32*BL32))</f>
        <v>0</v>
      </c>
      <c r="M32" s="44"/>
      <c r="N32" s="78">
        <f>IF(BP32=0,0,($BC32*(1+$BD$7)^2/$BD32*BP32))</f>
        <v>0</v>
      </c>
      <c r="O32" s="44"/>
      <c r="P32" s="78">
        <f>IF(BT32=0,0,($BC32*(1+$BD$7)^3/$BD32*BT32))</f>
        <v>0</v>
      </c>
      <c r="Q32" s="44"/>
      <c r="R32" s="78">
        <f>IF(BX32=0,0,($BC32*(1+$BD$7)^4/$BD32*BX32))</f>
        <v>0</v>
      </c>
      <c r="S32" s="44"/>
      <c r="T32" s="78">
        <f>IF(CB32=0,0,($BC32*(1+$BD$7)^5/$BD32*CB32))</f>
        <v>0</v>
      </c>
      <c r="V32" s="78">
        <f>IF(CF32=0,0,($BC32*(1+$BD$7)^6/$BD32*CF32))</f>
        <v>0</v>
      </c>
      <c r="W32" s="44"/>
      <c r="X32" s="78">
        <f t="shared" si="2"/>
        <v>0</v>
      </c>
      <c r="Y32" s="44"/>
      <c r="Z32" s="78">
        <f t="shared" si="3"/>
        <v>0</v>
      </c>
      <c r="AA32" s="44"/>
      <c r="AB32" s="78">
        <f t="shared" si="4"/>
        <v>0</v>
      </c>
      <c r="AC32" s="78"/>
      <c r="AD32" s="78">
        <f>J32+L32+N32+P32+R32+T32+V32+X32+Z32+AB32</f>
        <v>0</v>
      </c>
      <c r="AE32" s="78"/>
      <c r="AF32" s="327">
        <f t="shared" si="0"/>
        <v>0</v>
      </c>
      <c r="AH32" s="327">
        <f t="shared" si="1"/>
        <v>0</v>
      </c>
      <c r="AI32" s="44"/>
      <c r="AJ32" s="327">
        <f t="shared" si="5"/>
        <v>0</v>
      </c>
      <c r="AK32" s="44"/>
      <c r="AL32" s="327">
        <f t="shared" si="6"/>
        <v>0</v>
      </c>
      <c r="AM32" s="44"/>
      <c r="AN32" s="327">
        <f t="shared" si="7"/>
        <v>0</v>
      </c>
      <c r="AO32" s="44"/>
      <c r="AP32" s="327">
        <f t="shared" si="8"/>
        <v>0</v>
      </c>
      <c r="AR32" s="327">
        <f t="shared" si="9"/>
        <v>0</v>
      </c>
      <c r="AS32" s="44"/>
      <c r="AT32" s="327">
        <f t="shared" si="10"/>
        <v>0</v>
      </c>
      <c r="AU32" s="44"/>
      <c r="AV32" s="327">
        <f t="shared" si="11"/>
        <v>0</v>
      </c>
      <c r="AW32" s="44"/>
      <c r="AX32" s="327">
        <f t="shared" si="12"/>
        <v>0</v>
      </c>
      <c r="AY32" s="78"/>
      <c r="AZ32" s="327">
        <f>AF32+AH32+AJ32+AL32+AN32+AP32+AR32+AT32+AV32+AX32</f>
        <v>0</v>
      </c>
      <c r="BA32" s="44"/>
      <c r="BC32" s="114"/>
      <c r="BD32" s="115">
        <v>12</v>
      </c>
      <c r="BE32" s="120" t="s">
        <v>85</v>
      </c>
      <c r="BF32" s="117">
        <v>0</v>
      </c>
      <c r="BG32" s="118">
        <v>12</v>
      </c>
      <c r="BH32" s="80">
        <f>BF32*BG32</f>
        <v>0</v>
      </c>
      <c r="BI32" s="54"/>
      <c r="BJ32" s="117">
        <f>IF($BD$15=1,0,BF32)</f>
        <v>0</v>
      </c>
      <c r="BK32" s="118">
        <f>IF($BD$15=1,0,BG32)</f>
        <v>12</v>
      </c>
      <c r="BL32" s="80">
        <f>BJ32*BK32</f>
        <v>0</v>
      </c>
      <c r="BM32" s="54"/>
      <c r="BN32" s="117">
        <f>IF($BD$15=2,0,BJ32)</f>
        <v>0</v>
      </c>
      <c r="BO32" s="118">
        <f>IF($BD$15=2,0,BK32)</f>
        <v>12</v>
      </c>
      <c r="BP32" s="80">
        <f>BN32*BO32</f>
        <v>0</v>
      </c>
      <c r="BQ32" s="54"/>
      <c r="BR32" s="117">
        <f>IF($BD$15=3,0,BN32)</f>
        <v>0</v>
      </c>
      <c r="BS32" s="118">
        <f>IF($BD$15=3,0,BO32)</f>
        <v>12</v>
      </c>
      <c r="BT32" s="80">
        <f>BR32*BS32</f>
        <v>0</v>
      </c>
      <c r="BU32" s="54"/>
      <c r="BV32" s="117">
        <f>IF($BD$15=4,0,BR32)</f>
        <v>0</v>
      </c>
      <c r="BW32" s="118">
        <f>IF($BD$15=4,0,BS32)</f>
        <v>12</v>
      </c>
      <c r="BX32" s="80">
        <f>BV32*BW32</f>
        <v>0</v>
      </c>
      <c r="BY32" s="119"/>
      <c r="BZ32" s="117">
        <f t="shared" si="23"/>
        <v>0</v>
      </c>
      <c r="CA32" s="118">
        <f t="shared" si="13"/>
        <v>0</v>
      </c>
      <c r="CB32" s="80">
        <f>BZ32*CA32</f>
        <v>0</v>
      </c>
      <c r="CC32" s="54"/>
      <c r="CD32" s="117">
        <f t="shared" si="14"/>
        <v>0</v>
      </c>
      <c r="CE32" s="118">
        <f>IF($BD$15=6,0,CA32)</f>
        <v>0</v>
      </c>
      <c r="CF32" s="80">
        <f>CD32*CE32</f>
        <v>0</v>
      </c>
      <c r="CG32" s="54"/>
      <c r="CH32" s="117">
        <f t="shared" si="16"/>
        <v>0</v>
      </c>
      <c r="CI32" s="118">
        <f t="shared" si="17"/>
        <v>0</v>
      </c>
      <c r="CJ32" s="80">
        <f>CH32*CI32</f>
        <v>0</v>
      </c>
      <c r="CK32" s="54"/>
      <c r="CL32" s="117">
        <f t="shared" si="18"/>
        <v>0</v>
      </c>
      <c r="CM32" s="118">
        <f t="shared" si="19"/>
        <v>0</v>
      </c>
      <c r="CN32" s="80">
        <f>CL32*CM32</f>
        <v>0</v>
      </c>
      <c r="CO32" s="54"/>
      <c r="CP32" s="117">
        <f t="shared" si="20"/>
        <v>0</v>
      </c>
      <c r="CQ32" s="118">
        <f t="shared" si="21"/>
        <v>0</v>
      </c>
      <c r="CR32" s="80">
        <f>CP32*CQ32</f>
        <v>0</v>
      </c>
      <c r="CS32" s="119">
        <f t="shared" si="22"/>
        <v>0</v>
      </c>
    </row>
    <row r="33" spans="1:97" ht="16.5" customHeight="1" x14ac:dyDescent="0.25">
      <c r="A33" s="36"/>
      <c r="B33" s="10"/>
      <c r="C33" s="77" t="s">
        <v>91</v>
      </c>
      <c r="H33" s="58"/>
      <c r="I33" s="9"/>
      <c r="M33" s="44"/>
      <c r="N33" s="44"/>
      <c r="O33" s="44"/>
      <c r="P33" s="44"/>
      <c r="Q33" s="44"/>
      <c r="R33" s="44"/>
      <c r="S33" s="44"/>
      <c r="W33" s="44"/>
      <c r="X33" s="78"/>
      <c r="Y33" s="44"/>
      <c r="Z33" s="78"/>
      <c r="AA33" s="44"/>
      <c r="AB33" s="78"/>
      <c r="AC33" s="44"/>
      <c r="AD33" s="78"/>
      <c r="AE33" s="78"/>
      <c r="AI33" s="44"/>
      <c r="AJ33" s="327"/>
      <c r="AK33" s="44"/>
      <c r="AL33" s="327"/>
      <c r="AM33" s="44"/>
      <c r="AN33" s="327"/>
      <c r="AO33" s="44"/>
      <c r="AS33" s="44"/>
      <c r="AT33" s="327"/>
      <c r="AU33" s="44"/>
      <c r="AV33" s="327"/>
      <c r="AW33" s="44"/>
      <c r="AX33" s="327"/>
      <c r="AY33" s="44"/>
      <c r="AZ33" s="327"/>
      <c r="BC33" s="114"/>
      <c r="BD33" s="115"/>
      <c r="BE33" s="120"/>
      <c r="BF33" s="117"/>
      <c r="BG33" s="118"/>
      <c r="BH33" s="80"/>
      <c r="BI33" s="54"/>
      <c r="BJ33" s="117"/>
      <c r="BK33" s="118"/>
      <c r="BL33" s="80"/>
      <c r="BM33" s="54"/>
      <c r="BN33" s="117"/>
      <c r="BO33" s="118"/>
      <c r="BP33" s="80"/>
      <c r="BQ33" s="54"/>
      <c r="BR33" s="117"/>
      <c r="BS33" s="118"/>
      <c r="BT33" s="80"/>
      <c r="BU33" s="54"/>
      <c r="BV33" s="117"/>
      <c r="BW33" s="118"/>
      <c r="BX33" s="80"/>
      <c r="BY33" s="119"/>
      <c r="BZ33" s="117"/>
      <c r="CA33" s="118"/>
      <c r="CB33" s="80"/>
      <c r="CC33" s="54"/>
      <c r="CD33" s="117"/>
      <c r="CE33" s="118"/>
      <c r="CF33" s="80"/>
      <c r="CG33" s="54"/>
      <c r="CH33" s="117"/>
      <c r="CI33" s="118"/>
      <c r="CJ33" s="80"/>
      <c r="CK33" s="54"/>
      <c r="CL33" s="117"/>
      <c r="CM33" s="118"/>
      <c r="CN33" s="80"/>
      <c r="CO33" s="54"/>
      <c r="CP33" s="117"/>
      <c r="CQ33" s="118"/>
      <c r="CR33" s="80"/>
      <c r="CS33" s="119"/>
    </row>
    <row r="34" spans="1:97" ht="16.5" customHeight="1" x14ac:dyDescent="0.25">
      <c r="A34" s="36" t="s">
        <v>249</v>
      </c>
      <c r="B34" s="10"/>
      <c r="D34" s="57" t="str">
        <f>((BF34*100)&amp;"%"&amp;" time, "&amp;BG34&amp;" months, "&amp;BE34)</f>
        <v>0% time, 12 months, CY</v>
      </c>
      <c r="E34" s="57"/>
      <c r="H34" s="58"/>
      <c r="I34" s="9"/>
      <c r="J34" s="78">
        <f>IF(BH34=0,0,($BC34/$BD34*BH34))</f>
        <v>0</v>
      </c>
      <c r="L34" s="78">
        <f>IF(BL34=0,0,($BC34*(1+$BD$7)/$BD34*BL34))</f>
        <v>0</v>
      </c>
      <c r="M34" s="44"/>
      <c r="N34" s="78">
        <f>IF(BP34=0,0,($BC34*(1+$BD$7)^2/$BD34*BP34))</f>
        <v>0</v>
      </c>
      <c r="O34" s="44"/>
      <c r="P34" s="78">
        <f>IF(BT34=0,0,($BC34*(1+$BD$7)^3/$BD34*BT34))</f>
        <v>0</v>
      </c>
      <c r="Q34" s="44"/>
      <c r="R34" s="78">
        <f>IF(BX34=0,0,($BC34*(1+$BD$7)^4/$BD34*BX34))</f>
        <v>0</v>
      </c>
      <c r="S34" s="44"/>
      <c r="T34" s="78">
        <f>IF(CB34=0,0,($BC34*(1+$BD$7)^5/$BD34*CB34))</f>
        <v>0</v>
      </c>
      <c r="V34" s="78">
        <f>IF(CF34=0,0,($BC34*(1+$BD$7)^6/$BD34*CF34))</f>
        <v>0</v>
      </c>
      <c r="W34" s="44"/>
      <c r="X34" s="78">
        <f t="shared" si="2"/>
        <v>0</v>
      </c>
      <c r="Y34" s="44"/>
      <c r="Z34" s="78">
        <f t="shared" si="3"/>
        <v>0</v>
      </c>
      <c r="AA34" s="44"/>
      <c r="AB34" s="78">
        <f t="shared" si="4"/>
        <v>0</v>
      </c>
      <c r="AC34" s="78"/>
      <c r="AD34" s="78">
        <f>J34+L34+N34+P34+R34+T34+V34+X34+Z34+AB34</f>
        <v>0</v>
      </c>
      <c r="AE34" s="78"/>
      <c r="AF34" s="327">
        <f t="shared" si="0"/>
        <v>0</v>
      </c>
      <c r="AH34" s="327">
        <f t="shared" si="1"/>
        <v>0</v>
      </c>
      <c r="AI34" s="44"/>
      <c r="AJ34" s="327">
        <f t="shared" si="5"/>
        <v>0</v>
      </c>
      <c r="AK34" s="44"/>
      <c r="AL34" s="327">
        <f t="shared" si="6"/>
        <v>0</v>
      </c>
      <c r="AM34" s="44"/>
      <c r="AN34" s="327">
        <f t="shared" si="7"/>
        <v>0</v>
      </c>
      <c r="AO34" s="44"/>
      <c r="AP34" s="327">
        <f t="shared" si="8"/>
        <v>0</v>
      </c>
      <c r="AR34" s="327">
        <f t="shared" si="9"/>
        <v>0</v>
      </c>
      <c r="AS34" s="44"/>
      <c r="AT34" s="327">
        <f t="shared" si="10"/>
        <v>0</v>
      </c>
      <c r="AU34" s="44"/>
      <c r="AV34" s="327">
        <f t="shared" si="11"/>
        <v>0</v>
      </c>
      <c r="AW34" s="44"/>
      <c r="AX34" s="327">
        <f t="shared" si="12"/>
        <v>0</v>
      </c>
      <c r="AY34" s="78"/>
      <c r="AZ34" s="327">
        <f>AF34+AH34+AJ34+AL34+AN34+AP34+AR34+AT34+AV34+AX34</f>
        <v>0</v>
      </c>
      <c r="BC34" s="114"/>
      <c r="BD34" s="115">
        <v>12</v>
      </c>
      <c r="BE34" s="120" t="s">
        <v>85</v>
      </c>
      <c r="BF34" s="117">
        <v>0</v>
      </c>
      <c r="BG34" s="118">
        <v>12</v>
      </c>
      <c r="BH34" s="80">
        <f>BF34*BG34</f>
        <v>0</v>
      </c>
      <c r="BI34" s="54"/>
      <c r="BJ34" s="117">
        <f>IF($BD$15=1,0,BF34)</f>
        <v>0</v>
      </c>
      <c r="BK34" s="118">
        <f>IF($BD$15=1,0,BG34)</f>
        <v>12</v>
      </c>
      <c r="BL34" s="80">
        <f>BJ34*BK34</f>
        <v>0</v>
      </c>
      <c r="BM34" s="54"/>
      <c r="BN34" s="117">
        <f>IF($BD$15=2,0,BJ34)</f>
        <v>0</v>
      </c>
      <c r="BO34" s="118">
        <f>IF($BD$15=2,0,BK34)</f>
        <v>12</v>
      </c>
      <c r="BP34" s="80">
        <f>BN34*BO34</f>
        <v>0</v>
      </c>
      <c r="BQ34" s="54"/>
      <c r="BR34" s="117">
        <f>IF($BD$15=3,0,BN34)</f>
        <v>0</v>
      </c>
      <c r="BS34" s="118">
        <f>IF($BD$15=3,0,BO34)</f>
        <v>12</v>
      </c>
      <c r="BT34" s="80">
        <f>BR34*BS34</f>
        <v>0</v>
      </c>
      <c r="BU34" s="54"/>
      <c r="BV34" s="117">
        <f>IF($BD$15=4,0,BR34)</f>
        <v>0</v>
      </c>
      <c r="BW34" s="118">
        <f>IF($BD$15=4,0,BS34)</f>
        <v>12</v>
      </c>
      <c r="BX34" s="80">
        <f>BV34*BW34</f>
        <v>0</v>
      </c>
      <c r="BY34" s="119"/>
      <c r="BZ34" s="117">
        <f t="shared" si="23"/>
        <v>0</v>
      </c>
      <c r="CA34" s="118">
        <f t="shared" si="13"/>
        <v>0</v>
      </c>
      <c r="CB34" s="80">
        <f>BZ34*CA34</f>
        <v>0</v>
      </c>
      <c r="CC34" s="54"/>
      <c r="CD34" s="117">
        <f t="shared" si="14"/>
        <v>0</v>
      </c>
      <c r="CE34" s="118">
        <f>IF($BD$15=6,0,CA34)</f>
        <v>0</v>
      </c>
      <c r="CF34" s="80">
        <f>CD34*CE34</f>
        <v>0</v>
      </c>
      <c r="CG34" s="54"/>
      <c r="CH34" s="117">
        <f t="shared" si="16"/>
        <v>0</v>
      </c>
      <c r="CI34" s="118">
        <f t="shared" si="17"/>
        <v>0</v>
      </c>
      <c r="CJ34" s="80">
        <f>CH34*CI34</f>
        <v>0</v>
      </c>
      <c r="CK34" s="54"/>
      <c r="CL34" s="117">
        <f t="shared" si="18"/>
        <v>0</v>
      </c>
      <c r="CM34" s="118">
        <f t="shared" si="19"/>
        <v>0</v>
      </c>
      <c r="CN34" s="80">
        <f>CL34*CM34</f>
        <v>0</v>
      </c>
      <c r="CO34" s="54"/>
      <c r="CP34" s="117">
        <f t="shared" si="20"/>
        <v>0</v>
      </c>
      <c r="CQ34" s="118">
        <f t="shared" si="21"/>
        <v>0</v>
      </c>
      <c r="CR34" s="80">
        <f>CP34*CQ34</f>
        <v>0</v>
      </c>
      <c r="CS34" s="119">
        <f t="shared" si="22"/>
        <v>0</v>
      </c>
    </row>
    <row r="35" spans="1:97" ht="16.5" customHeight="1" x14ac:dyDescent="0.25">
      <c r="A35" s="36"/>
      <c r="B35" s="10"/>
      <c r="C35" s="77" t="s">
        <v>91</v>
      </c>
      <c r="H35" s="58"/>
      <c r="I35" s="9"/>
      <c r="M35" s="44"/>
      <c r="N35" s="44"/>
      <c r="O35" s="44"/>
      <c r="P35" s="44"/>
      <c r="Q35" s="44"/>
      <c r="R35" s="44"/>
      <c r="S35" s="44"/>
      <c r="W35" s="44"/>
      <c r="X35" s="78"/>
      <c r="Y35" s="44"/>
      <c r="Z35" s="78"/>
      <c r="AA35" s="44"/>
      <c r="AB35" s="78"/>
      <c r="AC35" s="44"/>
      <c r="AD35" s="78"/>
      <c r="AE35" s="78"/>
      <c r="AI35" s="44"/>
      <c r="AJ35" s="327"/>
      <c r="AK35" s="44"/>
      <c r="AL35" s="327"/>
      <c r="AM35" s="44"/>
      <c r="AN35" s="327"/>
      <c r="AO35" s="44"/>
      <c r="AS35" s="44"/>
      <c r="AT35" s="327"/>
      <c r="AU35" s="44"/>
      <c r="AV35" s="327"/>
      <c r="AW35" s="44"/>
      <c r="AX35" s="327"/>
      <c r="AY35" s="44"/>
      <c r="AZ35" s="327"/>
      <c r="BC35" s="114"/>
      <c r="BD35" s="115"/>
      <c r="BE35" s="120"/>
      <c r="BF35" s="117"/>
      <c r="BG35" s="118"/>
      <c r="BH35" s="80"/>
      <c r="BI35" s="54"/>
      <c r="BJ35" s="117"/>
      <c r="BK35" s="118"/>
      <c r="BL35" s="80"/>
      <c r="BM35" s="54"/>
      <c r="BN35" s="117"/>
      <c r="BO35" s="118"/>
      <c r="BP35" s="80"/>
      <c r="BQ35" s="54"/>
      <c r="BR35" s="117"/>
      <c r="BS35" s="118"/>
      <c r="BT35" s="80"/>
      <c r="BU35" s="54"/>
      <c r="BV35" s="117"/>
      <c r="BW35" s="118"/>
      <c r="BX35" s="80"/>
      <c r="BY35" s="119"/>
      <c r="BZ35" s="117"/>
      <c r="CA35" s="118"/>
      <c r="CB35" s="80"/>
      <c r="CC35" s="54"/>
      <c r="CD35" s="117"/>
      <c r="CE35" s="118"/>
      <c r="CF35" s="80"/>
      <c r="CG35" s="54"/>
      <c r="CH35" s="117"/>
      <c r="CI35" s="118"/>
      <c r="CJ35" s="80"/>
      <c r="CK35" s="54"/>
      <c r="CL35" s="117"/>
      <c r="CM35" s="118"/>
      <c r="CN35" s="80"/>
      <c r="CO35" s="54"/>
      <c r="CP35" s="117"/>
      <c r="CQ35" s="118"/>
      <c r="CR35" s="80"/>
      <c r="CS35" s="119"/>
    </row>
    <row r="36" spans="1:97" ht="16.5" customHeight="1" x14ac:dyDescent="0.25">
      <c r="A36" s="36" t="s">
        <v>249</v>
      </c>
      <c r="B36" s="10"/>
      <c r="D36" s="57" t="str">
        <f>((BF36*100)&amp;"%"&amp;" time, "&amp;BG36&amp;" months, "&amp;BE36)</f>
        <v>0% time, 12 months, CY</v>
      </c>
      <c r="E36" s="57"/>
      <c r="H36" s="58"/>
      <c r="I36" s="9"/>
      <c r="J36" s="78">
        <f>IF(BH36=0,0,($BC36/$BD36*BH36))</f>
        <v>0</v>
      </c>
      <c r="L36" s="78">
        <f>IF(BL36=0,0,($BC36*(1+$BD$7)/$BD36*BL36))</f>
        <v>0</v>
      </c>
      <c r="M36" s="44"/>
      <c r="N36" s="78">
        <f>IF(BP36=0,0,($BC36*(1+$BD$7)^2/$BD36*BP36))</f>
        <v>0</v>
      </c>
      <c r="O36" s="44"/>
      <c r="P36" s="78">
        <f>IF(BT36=0,0,($BC36*(1+$BD$7)^3/$BD36*BT36))</f>
        <v>0</v>
      </c>
      <c r="Q36" s="44"/>
      <c r="R36" s="78">
        <f>IF(BX36=0,0,($BC36*(1+$BD$7)^4/$BD36*BX36))</f>
        <v>0</v>
      </c>
      <c r="S36" s="44"/>
      <c r="T36" s="78">
        <f>IF(CB36=0,0,($BC36*(1+$BD$7)^5/$BD36*CB36))</f>
        <v>0</v>
      </c>
      <c r="V36" s="78">
        <f>IF(CF36=0,0,($BC36*(1+$BD$7)^6/$BD36*CF36))</f>
        <v>0</v>
      </c>
      <c r="W36" s="44"/>
      <c r="X36" s="78">
        <f t="shared" si="2"/>
        <v>0</v>
      </c>
      <c r="Y36" s="44"/>
      <c r="Z36" s="78">
        <f t="shared" si="3"/>
        <v>0</v>
      </c>
      <c r="AA36" s="44"/>
      <c r="AB36" s="78">
        <f t="shared" si="4"/>
        <v>0</v>
      </c>
      <c r="AC36" s="78"/>
      <c r="AD36" s="78">
        <f>J36+L36+N36+P36+R36+T36+V36+X36+Z36+AB36</f>
        <v>0</v>
      </c>
      <c r="AE36" s="78"/>
      <c r="AF36" s="327">
        <f t="shared" si="0"/>
        <v>0</v>
      </c>
      <c r="AH36" s="327">
        <f t="shared" si="1"/>
        <v>0</v>
      </c>
      <c r="AI36" s="44"/>
      <c r="AJ36" s="327">
        <f t="shared" si="5"/>
        <v>0</v>
      </c>
      <c r="AK36" s="44"/>
      <c r="AL36" s="327">
        <f t="shared" si="6"/>
        <v>0</v>
      </c>
      <c r="AM36" s="44"/>
      <c r="AN36" s="327">
        <f t="shared" si="7"/>
        <v>0</v>
      </c>
      <c r="AO36" s="44"/>
      <c r="AP36" s="327">
        <f t="shared" si="8"/>
        <v>0</v>
      </c>
      <c r="AR36" s="327">
        <f t="shared" si="9"/>
        <v>0</v>
      </c>
      <c r="AS36" s="44"/>
      <c r="AT36" s="327">
        <f t="shared" si="10"/>
        <v>0</v>
      </c>
      <c r="AU36" s="44"/>
      <c r="AV36" s="327">
        <f t="shared" si="11"/>
        <v>0</v>
      </c>
      <c r="AW36" s="44"/>
      <c r="AX36" s="327">
        <f t="shared" si="12"/>
        <v>0</v>
      </c>
      <c r="AY36" s="78"/>
      <c r="AZ36" s="327">
        <f>AF36+AH36+AJ36+AL36+AN36+AP36+AR36+AT36+AV36+AX36</f>
        <v>0</v>
      </c>
      <c r="BC36" s="114"/>
      <c r="BD36" s="115">
        <v>12</v>
      </c>
      <c r="BE36" s="120" t="s">
        <v>85</v>
      </c>
      <c r="BF36" s="117">
        <v>0</v>
      </c>
      <c r="BG36" s="118">
        <v>12</v>
      </c>
      <c r="BH36" s="80">
        <f>BF36*BG36</f>
        <v>0</v>
      </c>
      <c r="BI36" s="54"/>
      <c r="BJ36" s="117">
        <f>IF($BD$15=1,0,BF36)</f>
        <v>0</v>
      </c>
      <c r="BK36" s="118">
        <f>IF($BD$15=1,0,BG36)</f>
        <v>12</v>
      </c>
      <c r="BL36" s="80">
        <f>BJ36*BK36</f>
        <v>0</v>
      </c>
      <c r="BM36" s="54"/>
      <c r="BN36" s="117">
        <f>IF($BD$15=2,0,BJ36)</f>
        <v>0</v>
      </c>
      <c r="BO36" s="118">
        <f>IF($BD$15=2,0,BK36)</f>
        <v>12</v>
      </c>
      <c r="BP36" s="80">
        <f>BN36*BO36</f>
        <v>0</v>
      </c>
      <c r="BQ36" s="54"/>
      <c r="BR36" s="117">
        <f>IF($BD$15=3,0,BN36)</f>
        <v>0</v>
      </c>
      <c r="BS36" s="118">
        <f>IF($BD$15=3,0,BO36)</f>
        <v>12</v>
      </c>
      <c r="BT36" s="80">
        <f>BR36*BS36</f>
        <v>0</v>
      </c>
      <c r="BU36" s="54"/>
      <c r="BV36" s="117">
        <f>IF($BD$15=4,0,BR36)</f>
        <v>0</v>
      </c>
      <c r="BW36" s="118">
        <f>IF($BD$15=4,0,BS36)</f>
        <v>12</v>
      </c>
      <c r="BX36" s="80">
        <f>BV36*BW36</f>
        <v>0</v>
      </c>
      <c r="BY36" s="119"/>
      <c r="BZ36" s="117">
        <f t="shared" si="23"/>
        <v>0</v>
      </c>
      <c r="CA36" s="118">
        <f t="shared" si="13"/>
        <v>0</v>
      </c>
      <c r="CB36" s="80">
        <f>BZ36*CA36</f>
        <v>0</v>
      </c>
      <c r="CC36" s="54"/>
      <c r="CD36" s="117">
        <f t="shared" si="14"/>
        <v>0</v>
      </c>
      <c r="CE36" s="118">
        <f t="shared" si="15"/>
        <v>0</v>
      </c>
      <c r="CF36" s="80">
        <f>CD36*CE36</f>
        <v>0</v>
      </c>
      <c r="CG36" s="54"/>
      <c r="CH36" s="117">
        <f t="shared" si="16"/>
        <v>0</v>
      </c>
      <c r="CI36" s="118">
        <f t="shared" si="17"/>
        <v>0</v>
      </c>
      <c r="CJ36" s="80">
        <f>CH36*CI36</f>
        <v>0</v>
      </c>
      <c r="CK36" s="54"/>
      <c r="CL36" s="117">
        <f t="shared" si="18"/>
        <v>0</v>
      </c>
      <c r="CM36" s="118">
        <f t="shared" si="19"/>
        <v>0</v>
      </c>
      <c r="CN36" s="80">
        <f>CL36*CM36</f>
        <v>0</v>
      </c>
      <c r="CO36" s="54"/>
      <c r="CP36" s="117">
        <f t="shared" si="20"/>
        <v>0</v>
      </c>
      <c r="CQ36" s="118">
        <f t="shared" si="21"/>
        <v>0</v>
      </c>
      <c r="CR36" s="80">
        <f>CP36*CQ36</f>
        <v>0</v>
      </c>
      <c r="CS36" s="119">
        <f t="shared" si="22"/>
        <v>0</v>
      </c>
    </row>
    <row r="37" spans="1:97" ht="16.5" customHeight="1" x14ac:dyDescent="0.25">
      <c r="A37" s="36"/>
      <c r="B37" s="10"/>
      <c r="C37" s="77" t="s">
        <v>389</v>
      </c>
      <c r="H37" s="58"/>
      <c r="I37" s="9"/>
      <c r="M37" s="44"/>
      <c r="N37" s="44"/>
      <c r="O37" s="44"/>
      <c r="P37" s="44"/>
      <c r="Q37" s="44"/>
      <c r="R37" s="44"/>
      <c r="S37" s="44"/>
      <c r="W37" s="44"/>
      <c r="X37" s="78"/>
      <c r="Y37" s="44"/>
      <c r="Z37" s="78"/>
      <c r="AA37" s="44"/>
      <c r="AB37" s="78"/>
      <c r="AC37" s="44"/>
      <c r="AD37" s="78"/>
      <c r="AE37" s="78"/>
      <c r="AI37" s="44"/>
      <c r="AJ37" s="327"/>
      <c r="AK37" s="44"/>
      <c r="AL37" s="327"/>
      <c r="AM37" s="44"/>
      <c r="AN37" s="327"/>
      <c r="AO37" s="44"/>
      <c r="AS37" s="44"/>
      <c r="AT37" s="327"/>
      <c r="AU37" s="44"/>
      <c r="AV37" s="327"/>
      <c r="AW37" s="44"/>
      <c r="AX37" s="327"/>
      <c r="AY37" s="44"/>
      <c r="AZ37" s="327"/>
      <c r="BC37" s="114"/>
      <c r="BD37" s="115"/>
      <c r="BE37" s="120"/>
      <c r="BF37" s="117"/>
      <c r="BG37" s="118"/>
      <c r="BH37" s="80"/>
      <c r="BI37" s="54"/>
      <c r="BJ37" s="117"/>
      <c r="BK37" s="118"/>
      <c r="BL37" s="80"/>
      <c r="BM37" s="54"/>
      <c r="BN37" s="117"/>
      <c r="BO37" s="118"/>
      <c r="BP37" s="80"/>
      <c r="BQ37" s="54"/>
      <c r="BR37" s="117"/>
      <c r="BS37" s="118"/>
      <c r="BT37" s="80"/>
      <c r="BU37" s="54"/>
      <c r="BV37" s="117"/>
      <c r="BW37" s="118"/>
      <c r="BX37" s="80"/>
      <c r="BY37" s="119"/>
      <c r="BZ37" s="117"/>
      <c r="CA37" s="118"/>
      <c r="CB37" s="80"/>
      <c r="CC37" s="54"/>
      <c r="CD37" s="117"/>
      <c r="CE37" s="118"/>
      <c r="CF37" s="80"/>
      <c r="CG37" s="54"/>
      <c r="CH37" s="117"/>
      <c r="CI37" s="118"/>
      <c r="CJ37" s="80"/>
      <c r="CK37" s="54"/>
      <c r="CL37" s="117"/>
      <c r="CM37" s="118"/>
      <c r="CN37" s="80"/>
      <c r="CO37" s="54"/>
      <c r="CP37" s="117"/>
      <c r="CQ37" s="118"/>
      <c r="CR37" s="80"/>
      <c r="CS37" s="119"/>
    </row>
    <row r="38" spans="1:97" ht="16.5" customHeight="1" x14ac:dyDescent="0.25">
      <c r="A38" s="36" t="s">
        <v>249</v>
      </c>
      <c r="B38" s="10"/>
      <c r="D38" s="57" t="str">
        <f>((BF38*100)&amp;"%"&amp;" time, "&amp;BG38&amp;" months, "&amp;BE38)</f>
        <v>0% time, 0 months, CY</v>
      </c>
      <c r="E38" s="57"/>
      <c r="H38" s="58"/>
      <c r="I38" s="9"/>
      <c r="J38" s="78">
        <f>IF(BH38=0,0,($BC38/$BD38*BH38))</f>
        <v>0</v>
      </c>
      <c r="L38" s="78">
        <f>IF(BL38=0,0,($BC38*(1+$BD$7)/$BD38*BL38))</f>
        <v>0</v>
      </c>
      <c r="M38" s="44"/>
      <c r="N38" s="78">
        <f>IF(BP38=0,0,($BC38*(1+$BD$7)^2/$BD38*BP38))</f>
        <v>0</v>
      </c>
      <c r="O38" s="44"/>
      <c r="P38" s="78">
        <f>IF(BT38=0,0,($BC38*(1+$BD$7)^3/$BD38*BT38))</f>
        <v>0</v>
      </c>
      <c r="Q38" s="44"/>
      <c r="R38" s="78">
        <f>IF(BX38=0,0,($BC38*(1+$BD$7)^4/$BD38*BX38))</f>
        <v>0</v>
      </c>
      <c r="S38" s="44"/>
      <c r="T38" s="78">
        <f>IF(CB38=0,0,($BC38*(1+$BD$7)^5/$BD38*CB38))</f>
        <v>0</v>
      </c>
      <c r="V38" s="78">
        <f>IF(CF38=0,0,($BC38*(1+$BD$7)^6/$BD38*CF38))</f>
        <v>0</v>
      </c>
      <c r="W38" s="44"/>
      <c r="X38" s="78">
        <f t="shared" si="2"/>
        <v>0</v>
      </c>
      <c r="Y38" s="44"/>
      <c r="Z38" s="78">
        <f t="shared" si="3"/>
        <v>0</v>
      </c>
      <c r="AA38" s="44"/>
      <c r="AB38" s="78">
        <f t="shared" si="4"/>
        <v>0</v>
      </c>
      <c r="AC38" s="78"/>
      <c r="AD38" s="78">
        <f>J38+L38+N38+P38+R38+T38+V38+X38+Z38+AB38</f>
        <v>0</v>
      </c>
      <c r="AE38" s="78"/>
      <c r="AF38" s="327">
        <f t="shared" si="0"/>
        <v>0</v>
      </c>
      <c r="AH38" s="327">
        <f t="shared" si="1"/>
        <v>0</v>
      </c>
      <c r="AI38" s="44"/>
      <c r="AJ38" s="327">
        <f t="shared" si="5"/>
        <v>0</v>
      </c>
      <c r="AK38" s="44"/>
      <c r="AL38" s="327">
        <f t="shared" si="6"/>
        <v>0</v>
      </c>
      <c r="AM38" s="44"/>
      <c r="AN38" s="327">
        <f t="shared" si="7"/>
        <v>0</v>
      </c>
      <c r="AO38" s="44"/>
      <c r="AP38" s="327">
        <f t="shared" si="8"/>
        <v>0</v>
      </c>
      <c r="AR38" s="327">
        <f t="shared" si="9"/>
        <v>0</v>
      </c>
      <c r="AS38" s="44"/>
      <c r="AT38" s="327">
        <f t="shared" si="10"/>
        <v>0</v>
      </c>
      <c r="AU38" s="44"/>
      <c r="AV38" s="327">
        <f t="shared" si="11"/>
        <v>0</v>
      </c>
      <c r="AW38" s="44"/>
      <c r="AX38" s="327">
        <f t="shared" si="12"/>
        <v>0</v>
      </c>
      <c r="AY38" s="78"/>
      <c r="AZ38" s="327">
        <f>AF38+AH38+AJ38+AL38+AN38+AP38+AR38+AT38+AV38+AX38</f>
        <v>0</v>
      </c>
      <c r="BC38" s="114"/>
      <c r="BD38" s="115">
        <v>12</v>
      </c>
      <c r="BE38" s="120" t="s">
        <v>85</v>
      </c>
      <c r="BF38" s="117">
        <v>0</v>
      </c>
      <c r="BG38" s="118">
        <v>0</v>
      </c>
      <c r="BH38" s="80">
        <f>BF38*BG38</f>
        <v>0</v>
      </c>
      <c r="BI38" s="54"/>
      <c r="BJ38" s="117">
        <f>IF($BD$15=1,0,BF38)</f>
        <v>0</v>
      </c>
      <c r="BK38" s="118">
        <f>IF($BD$15=1,0,BG38)</f>
        <v>0</v>
      </c>
      <c r="BL38" s="80">
        <f>BJ38*BK38</f>
        <v>0</v>
      </c>
      <c r="BM38" s="54"/>
      <c r="BN38" s="117">
        <f>IF($BD$15=2,0,BJ38)</f>
        <v>0</v>
      </c>
      <c r="BO38" s="118">
        <f>IF($BD$15=2,0,BK38)</f>
        <v>0</v>
      </c>
      <c r="BP38" s="80">
        <f>BN38*BO38</f>
        <v>0</v>
      </c>
      <c r="BQ38" s="54"/>
      <c r="BR38" s="117">
        <f>IF($BD$15=3,0,BN38)</f>
        <v>0</v>
      </c>
      <c r="BS38" s="118">
        <f>IF($BD$15=3,0,BO38)</f>
        <v>0</v>
      </c>
      <c r="BT38" s="80">
        <f>BR38*BS38</f>
        <v>0</v>
      </c>
      <c r="BU38" s="54"/>
      <c r="BV38" s="117">
        <f>IF($BD$15=4,0,BR38)</f>
        <v>0</v>
      </c>
      <c r="BW38" s="118">
        <f>IF($BD$15=4,0,BS38)</f>
        <v>0</v>
      </c>
      <c r="BX38" s="80">
        <f>BV38*BW38</f>
        <v>0</v>
      </c>
      <c r="BY38" s="119"/>
      <c r="BZ38" s="117">
        <f t="shared" si="23"/>
        <v>0</v>
      </c>
      <c r="CA38" s="118">
        <f t="shared" si="13"/>
        <v>0</v>
      </c>
      <c r="CB38" s="80">
        <f>BZ38*CA38</f>
        <v>0</v>
      </c>
      <c r="CC38" s="54"/>
      <c r="CD38" s="117">
        <f t="shared" si="14"/>
        <v>0</v>
      </c>
      <c r="CE38" s="118">
        <f t="shared" si="15"/>
        <v>0</v>
      </c>
      <c r="CF38" s="80">
        <f>CD38*CE38</f>
        <v>0</v>
      </c>
      <c r="CG38" s="54"/>
      <c r="CH38" s="117">
        <f t="shared" si="16"/>
        <v>0</v>
      </c>
      <c r="CI38" s="118">
        <f t="shared" si="17"/>
        <v>0</v>
      </c>
      <c r="CJ38" s="80">
        <f>CH38*CI38</f>
        <v>0</v>
      </c>
      <c r="CK38" s="54"/>
      <c r="CL38" s="117">
        <f t="shared" si="18"/>
        <v>0</v>
      </c>
      <c r="CM38" s="118">
        <f t="shared" si="19"/>
        <v>0</v>
      </c>
      <c r="CN38" s="80">
        <f>CL38*CM38</f>
        <v>0</v>
      </c>
      <c r="CO38" s="54"/>
      <c r="CP38" s="117">
        <f t="shared" si="20"/>
        <v>0</v>
      </c>
      <c r="CQ38" s="118">
        <f t="shared" si="21"/>
        <v>0</v>
      </c>
      <c r="CR38" s="80">
        <f>CP38*CQ38</f>
        <v>0</v>
      </c>
      <c r="CS38" s="119">
        <f t="shared" si="22"/>
        <v>0</v>
      </c>
    </row>
    <row r="39" spans="1:97" ht="16.5" customHeight="1" x14ac:dyDescent="0.25">
      <c r="A39" s="36"/>
      <c r="B39" s="10"/>
      <c r="C39" s="77" t="s">
        <v>389</v>
      </c>
      <c r="H39" s="58"/>
      <c r="I39" s="9"/>
      <c r="M39" s="44"/>
      <c r="N39" s="44"/>
      <c r="O39" s="44"/>
      <c r="P39" s="44"/>
      <c r="Q39" s="44"/>
      <c r="R39" s="44"/>
      <c r="S39" s="44"/>
      <c r="W39" s="44"/>
      <c r="X39" s="78"/>
      <c r="Y39" s="44"/>
      <c r="Z39" s="78"/>
      <c r="AA39" s="44"/>
      <c r="AB39" s="78"/>
      <c r="AC39" s="44"/>
      <c r="AD39" s="78"/>
      <c r="AE39" s="78"/>
      <c r="AI39" s="44"/>
      <c r="AJ39" s="327"/>
      <c r="AK39" s="44"/>
      <c r="AL39" s="327"/>
      <c r="AM39" s="44"/>
      <c r="AN39" s="327"/>
      <c r="AO39" s="44"/>
      <c r="AS39" s="44"/>
      <c r="AT39" s="327"/>
      <c r="AU39" s="44"/>
      <c r="AV39" s="327"/>
      <c r="AW39" s="44"/>
      <c r="AX39" s="327"/>
      <c r="AY39" s="44"/>
      <c r="AZ39" s="327"/>
      <c r="BC39" s="114"/>
      <c r="BD39" s="115"/>
      <c r="BE39" s="120"/>
      <c r="BF39" s="117"/>
      <c r="BG39" s="118"/>
      <c r="BH39" s="80"/>
      <c r="BI39" s="54"/>
      <c r="BJ39" s="117"/>
      <c r="BK39" s="118"/>
      <c r="BL39" s="80"/>
      <c r="BM39" s="54"/>
      <c r="BN39" s="117"/>
      <c r="BO39" s="118"/>
      <c r="BP39" s="80"/>
      <c r="BQ39" s="54"/>
      <c r="BR39" s="117"/>
      <c r="BS39" s="118"/>
      <c r="BT39" s="80"/>
      <c r="BU39" s="54"/>
      <c r="BV39" s="117"/>
      <c r="BW39" s="118"/>
      <c r="BX39" s="80"/>
      <c r="BY39" s="119"/>
      <c r="BZ39" s="117"/>
      <c r="CA39" s="118"/>
      <c r="CB39" s="80"/>
      <c r="CC39" s="54"/>
      <c r="CD39" s="117"/>
      <c r="CE39" s="118"/>
      <c r="CF39" s="80"/>
      <c r="CG39" s="54"/>
      <c r="CH39" s="117"/>
      <c r="CI39" s="118"/>
      <c r="CJ39" s="80"/>
      <c r="CK39" s="54"/>
      <c r="CL39" s="117"/>
      <c r="CM39" s="118"/>
      <c r="CN39" s="80"/>
      <c r="CO39" s="54"/>
      <c r="CP39" s="117"/>
      <c r="CQ39" s="118"/>
      <c r="CR39" s="80"/>
      <c r="CS39" s="119"/>
    </row>
    <row r="40" spans="1:97" ht="16.5" customHeight="1" x14ac:dyDescent="0.25">
      <c r="A40" s="36" t="s">
        <v>249</v>
      </c>
      <c r="B40" s="10"/>
      <c r="D40" s="57" t="str">
        <f>((BF40*100)&amp;"%"&amp;" time, "&amp;BG40&amp;" months, "&amp;BE40)</f>
        <v>0% time, 0 months, CY</v>
      </c>
      <c r="E40" s="57"/>
      <c r="H40" s="58"/>
      <c r="I40" s="9"/>
      <c r="J40" s="78">
        <f>IF(BH40=0,0,($BC40/$BD40*BH40))</f>
        <v>0</v>
      </c>
      <c r="L40" s="78">
        <f>IF(BL40=0,0,($BC40*(1+$BD$7)/$BD40*BL40))</f>
        <v>0</v>
      </c>
      <c r="M40" s="44"/>
      <c r="N40" s="78">
        <f>IF(BP40=0,0,($BC40*(1+$BD$7)^2/$BD40*BP40))</f>
        <v>0</v>
      </c>
      <c r="O40" s="44"/>
      <c r="P40" s="78">
        <f>IF(BT40=0,0,($BC40*(1+$BD$7)^3/$BD40*BT40))</f>
        <v>0</v>
      </c>
      <c r="Q40" s="44"/>
      <c r="R40" s="78">
        <f>IF(BX40=0,0,($BC40*(1+$BD$7)^4/$BD40*BX40))</f>
        <v>0</v>
      </c>
      <c r="S40" s="44"/>
      <c r="T40" s="78">
        <f>IF(CB40=0,0,($BC40*(1+$BD$7)^5/$BD40*CB40))</f>
        <v>0</v>
      </c>
      <c r="V40" s="78">
        <f>IF(CF40=0,0,($BC40*(1+$BD$7)^6/$BD40*CF40))</f>
        <v>0</v>
      </c>
      <c r="W40" s="44"/>
      <c r="X40" s="78">
        <f t="shared" si="2"/>
        <v>0</v>
      </c>
      <c r="Y40" s="44"/>
      <c r="Z40" s="78">
        <f t="shared" si="3"/>
        <v>0</v>
      </c>
      <c r="AA40" s="44"/>
      <c r="AB40" s="78">
        <f t="shared" si="4"/>
        <v>0</v>
      </c>
      <c r="AC40" s="78"/>
      <c r="AD40" s="78">
        <f>J40+L40+N40+P40+R40+T40+V40+X40+Z40+AB40</f>
        <v>0</v>
      </c>
      <c r="AE40" s="78"/>
      <c r="AF40" s="327">
        <f>IF(BH40=0,0,($BC40/$BD40*BH40))*0</f>
        <v>0</v>
      </c>
      <c r="AH40" s="327">
        <f t="shared" si="1"/>
        <v>0</v>
      </c>
      <c r="AI40" s="44"/>
      <c r="AJ40" s="327">
        <f t="shared" si="5"/>
        <v>0</v>
      </c>
      <c r="AK40" s="44"/>
      <c r="AL40" s="327">
        <f t="shared" si="6"/>
        <v>0</v>
      </c>
      <c r="AM40" s="44"/>
      <c r="AN40" s="327">
        <f>IF(BX40=0,0,($BC40*(1+$BD$7)^4/$BD40*BX40))*0</f>
        <v>0</v>
      </c>
      <c r="AO40" s="44"/>
      <c r="AP40" s="327">
        <f t="shared" si="8"/>
        <v>0</v>
      </c>
      <c r="AR40" s="327">
        <f t="shared" si="9"/>
        <v>0</v>
      </c>
      <c r="AS40" s="44"/>
      <c r="AT40" s="327">
        <f t="shared" si="10"/>
        <v>0</v>
      </c>
      <c r="AU40" s="44"/>
      <c r="AV40" s="327">
        <f t="shared" si="11"/>
        <v>0</v>
      </c>
      <c r="AW40" s="44"/>
      <c r="AX40" s="327">
        <f t="shared" si="12"/>
        <v>0</v>
      </c>
      <c r="AY40" s="78"/>
      <c r="AZ40" s="327">
        <f>AF40+AH40+AJ40+AL40+AN40+AP40+AR40+AT40+AV40+AX40</f>
        <v>0</v>
      </c>
      <c r="BC40" s="114"/>
      <c r="BD40" s="115">
        <v>12</v>
      </c>
      <c r="BE40" s="120" t="s">
        <v>85</v>
      </c>
      <c r="BF40" s="117">
        <v>0</v>
      </c>
      <c r="BG40" s="118">
        <v>0</v>
      </c>
      <c r="BH40" s="80">
        <f>BF40*BG40</f>
        <v>0</v>
      </c>
      <c r="BI40" s="54"/>
      <c r="BJ40" s="117">
        <f>IF($BD$15=1,0,BF40)</f>
        <v>0</v>
      </c>
      <c r="BK40" s="118">
        <f>IF($BD$15=1,0,BG40)</f>
        <v>0</v>
      </c>
      <c r="BL40" s="80">
        <f>BJ40*BK40</f>
        <v>0</v>
      </c>
      <c r="BM40" s="54"/>
      <c r="BN40" s="117">
        <f>IF($BD$15=2,0,BJ40)</f>
        <v>0</v>
      </c>
      <c r="BO40" s="118">
        <f>IF($BD$15=2,0,BK40)</f>
        <v>0</v>
      </c>
      <c r="BP40" s="80">
        <f>BN40*BO40</f>
        <v>0</v>
      </c>
      <c r="BQ40" s="54"/>
      <c r="BR40" s="117">
        <f>IF($BD$15=3,0,BN40)</f>
        <v>0</v>
      </c>
      <c r="BS40" s="118">
        <f>IF($BD$15=3,0,BO40)</f>
        <v>0</v>
      </c>
      <c r="BT40" s="80">
        <f>BR40*BS40</f>
        <v>0</v>
      </c>
      <c r="BU40" s="54"/>
      <c r="BV40" s="117">
        <f>IF($BD$15=4,0,BR40)</f>
        <v>0</v>
      </c>
      <c r="BW40" s="118">
        <f>IF($BD$15=4,0,BS40)</f>
        <v>0</v>
      </c>
      <c r="BX40" s="80">
        <f>BV40*BW40</f>
        <v>0</v>
      </c>
      <c r="BY40" s="119"/>
      <c r="BZ40" s="117">
        <f t="shared" si="23"/>
        <v>0</v>
      </c>
      <c r="CA40" s="118">
        <f t="shared" si="13"/>
        <v>0</v>
      </c>
      <c r="CB40" s="80">
        <f>BZ40*CA40</f>
        <v>0</v>
      </c>
      <c r="CC40" s="54"/>
      <c r="CD40" s="117">
        <f t="shared" si="14"/>
        <v>0</v>
      </c>
      <c r="CE40" s="118">
        <f t="shared" si="15"/>
        <v>0</v>
      </c>
      <c r="CF40" s="80">
        <f>CD40*CE40</f>
        <v>0</v>
      </c>
      <c r="CG40" s="54"/>
      <c r="CH40" s="117">
        <f t="shared" si="16"/>
        <v>0</v>
      </c>
      <c r="CI40" s="118">
        <f t="shared" si="17"/>
        <v>0</v>
      </c>
      <c r="CJ40" s="80">
        <f>CH40*CI40</f>
        <v>0</v>
      </c>
      <c r="CK40" s="54"/>
      <c r="CL40" s="117">
        <f>IF($BD$15=8,0,CH40)</f>
        <v>0</v>
      </c>
      <c r="CM40" s="118">
        <f t="shared" si="19"/>
        <v>0</v>
      </c>
      <c r="CN40" s="80">
        <f>CL40*CM40</f>
        <v>0</v>
      </c>
      <c r="CO40" s="54"/>
      <c r="CP40" s="117">
        <f t="shared" si="20"/>
        <v>0</v>
      </c>
      <c r="CQ40" s="118">
        <f t="shared" si="21"/>
        <v>0</v>
      </c>
      <c r="CR40" s="80">
        <f>CP40*CQ40</f>
        <v>0</v>
      </c>
      <c r="CS40" s="119">
        <f t="shared" si="22"/>
        <v>0</v>
      </c>
    </row>
    <row r="41" spans="1:97" ht="16.5" customHeight="1" x14ac:dyDescent="0.25">
      <c r="A41" s="36"/>
      <c r="B41" s="10"/>
      <c r="C41" s="77" t="s">
        <v>389</v>
      </c>
      <c r="H41" s="58"/>
      <c r="I41" s="9"/>
      <c r="M41" s="44"/>
      <c r="N41" s="44"/>
      <c r="O41" s="44"/>
      <c r="P41" s="44"/>
      <c r="Q41" s="44"/>
      <c r="R41" s="44"/>
      <c r="S41" s="44"/>
      <c r="W41" s="44"/>
      <c r="X41" s="78"/>
      <c r="Y41" s="44"/>
      <c r="Z41" s="78"/>
      <c r="AA41" s="44"/>
      <c r="AB41" s="78"/>
      <c r="AC41" s="44"/>
      <c r="AD41" s="78"/>
      <c r="AE41" s="78"/>
      <c r="AI41" s="44"/>
      <c r="AJ41" s="327"/>
      <c r="AK41" s="44"/>
      <c r="AL41" s="327"/>
      <c r="AM41" s="44"/>
      <c r="AN41" s="327"/>
      <c r="AO41" s="44"/>
      <c r="AS41" s="44"/>
      <c r="AT41" s="327"/>
      <c r="AU41" s="44"/>
      <c r="AV41" s="327"/>
      <c r="AW41" s="44"/>
      <c r="AX41" s="327"/>
      <c r="AY41" s="44"/>
      <c r="AZ41" s="327"/>
      <c r="BC41" s="114"/>
      <c r="BD41" s="115"/>
      <c r="BE41" s="120"/>
      <c r="BF41" s="117"/>
      <c r="BG41" s="118"/>
      <c r="BH41" s="80"/>
      <c r="BI41" s="54"/>
      <c r="BJ41" s="117"/>
      <c r="BK41" s="118"/>
      <c r="BL41" s="80"/>
      <c r="BM41" s="54"/>
      <c r="BN41" s="117"/>
      <c r="BO41" s="118"/>
      <c r="BP41" s="80"/>
      <c r="BQ41" s="54"/>
      <c r="BR41" s="117"/>
      <c r="BS41" s="118"/>
      <c r="BT41" s="80"/>
      <c r="BU41" s="54"/>
      <c r="BV41" s="117"/>
      <c r="BW41" s="118"/>
      <c r="BX41" s="80"/>
      <c r="BY41" s="119"/>
      <c r="BZ41" s="117"/>
      <c r="CA41" s="118"/>
      <c r="CB41" s="80"/>
      <c r="CC41" s="54"/>
      <c r="CD41" s="117"/>
      <c r="CE41" s="118"/>
      <c r="CF41" s="80"/>
      <c r="CG41" s="54"/>
      <c r="CH41" s="117"/>
      <c r="CI41" s="118"/>
      <c r="CJ41" s="80"/>
      <c r="CK41" s="54"/>
      <c r="CL41" s="117"/>
      <c r="CM41" s="118"/>
      <c r="CN41" s="80"/>
      <c r="CO41" s="54"/>
      <c r="CP41" s="117"/>
      <c r="CQ41" s="118"/>
      <c r="CR41" s="80"/>
      <c r="CS41" s="119"/>
    </row>
    <row r="42" spans="1:97" ht="16.5" customHeight="1" x14ac:dyDescent="0.25">
      <c r="A42" s="36" t="s">
        <v>249</v>
      </c>
      <c r="B42" s="10"/>
      <c r="D42" s="57" t="str">
        <f>((BF42*100)&amp;"%"&amp;" time, "&amp;BG42&amp;" months, "&amp;BE42)</f>
        <v>0% time, 0 months, CY</v>
      </c>
      <c r="E42" s="57"/>
      <c r="H42" s="58"/>
      <c r="I42" s="9"/>
      <c r="J42" s="78">
        <f>IF(BH42=0,0,($BC42/$BD42*BH42))</f>
        <v>0</v>
      </c>
      <c r="L42" s="78">
        <f>IF(BL42=0,0,($BC42*(1+$BD$7)/$BD42*BL42))</f>
        <v>0</v>
      </c>
      <c r="M42" s="44"/>
      <c r="N42" s="78">
        <f>IF(BP42=0,0,($BC42*(1+$BD$7)^2/$BD42*BP42))</f>
        <v>0</v>
      </c>
      <c r="O42" s="44"/>
      <c r="P42" s="78">
        <f>IF(BT42=0,0,($BC42*(1+$BD$7)^3/$BD42*BT42))</f>
        <v>0</v>
      </c>
      <c r="Q42" s="44"/>
      <c r="R42" s="78">
        <f>IF(BX42=0,0,($BC42*(1+$BD$7)^4/$BD42*BX42))</f>
        <v>0</v>
      </c>
      <c r="S42" s="44"/>
      <c r="T42" s="78">
        <f>IF(CB42=0,0,($BC42*(1+$BD$7)^5/$BD42*CB42))</f>
        <v>0</v>
      </c>
      <c r="V42" s="78">
        <f>IF(CF42=0,0,($BC42*(1+$BD$7)^6/$BD42*CF42))</f>
        <v>0</v>
      </c>
      <c r="W42" s="44"/>
      <c r="X42" s="78">
        <f t="shared" si="2"/>
        <v>0</v>
      </c>
      <c r="Y42" s="44"/>
      <c r="Z42" s="78">
        <f t="shared" si="3"/>
        <v>0</v>
      </c>
      <c r="AA42" s="44"/>
      <c r="AB42" s="78">
        <f t="shared" si="4"/>
        <v>0</v>
      </c>
      <c r="AC42" s="78"/>
      <c r="AD42" s="78">
        <f>J42+L42+N42+P42+R42+T42+V42+X42+Z42+AB42</f>
        <v>0</v>
      </c>
      <c r="AE42" s="78"/>
      <c r="AF42" s="327">
        <f t="shared" si="0"/>
        <v>0</v>
      </c>
      <c r="AH42" s="327">
        <f t="shared" si="1"/>
        <v>0</v>
      </c>
      <c r="AI42" s="44"/>
      <c r="AJ42" s="327">
        <f t="shared" si="5"/>
        <v>0</v>
      </c>
      <c r="AK42" s="44"/>
      <c r="AL42" s="327">
        <f t="shared" si="6"/>
        <v>0</v>
      </c>
      <c r="AM42" s="44"/>
      <c r="AN42" s="327">
        <f t="shared" si="7"/>
        <v>0</v>
      </c>
      <c r="AO42" s="44"/>
      <c r="AP42" s="327">
        <f t="shared" si="8"/>
        <v>0</v>
      </c>
      <c r="AR42" s="327">
        <f t="shared" si="9"/>
        <v>0</v>
      </c>
      <c r="AS42" s="44"/>
      <c r="AT42" s="327">
        <f t="shared" si="10"/>
        <v>0</v>
      </c>
      <c r="AU42" s="44"/>
      <c r="AV42" s="327">
        <f t="shared" si="11"/>
        <v>0</v>
      </c>
      <c r="AW42" s="44"/>
      <c r="AX42" s="327">
        <f t="shared" si="12"/>
        <v>0</v>
      </c>
      <c r="AY42" s="78"/>
      <c r="AZ42" s="327">
        <f>AF42+AH42+AJ42+AL42+AN42+AP42+AR42+AT42+AV42+AX42</f>
        <v>0</v>
      </c>
      <c r="BC42" s="114"/>
      <c r="BD42" s="115">
        <v>12</v>
      </c>
      <c r="BE42" s="120" t="s">
        <v>85</v>
      </c>
      <c r="BF42" s="117">
        <v>0</v>
      </c>
      <c r="BG42" s="118">
        <v>0</v>
      </c>
      <c r="BH42" s="80">
        <f>BF42*BG42</f>
        <v>0</v>
      </c>
      <c r="BI42" s="54"/>
      <c r="BJ42" s="117">
        <f>IF($BD$15=1,0,BF42)</f>
        <v>0</v>
      </c>
      <c r="BK42" s="118">
        <f>IF($BD$15=1,0,BG42)</f>
        <v>0</v>
      </c>
      <c r="BL42" s="80">
        <f>BJ42*BK42</f>
        <v>0</v>
      </c>
      <c r="BM42" s="54"/>
      <c r="BN42" s="117">
        <f>IF($BD$15=2,0,BJ42)</f>
        <v>0</v>
      </c>
      <c r="BO42" s="118">
        <f>IF($BD$15=2,0,BK42)</f>
        <v>0</v>
      </c>
      <c r="BP42" s="80">
        <f>BN42*BO42</f>
        <v>0</v>
      </c>
      <c r="BQ42" s="54"/>
      <c r="BR42" s="117">
        <f>IF($BD$15=3,0,BN42)</f>
        <v>0</v>
      </c>
      <c r="BS42" s="118">
        <f>IF($BD$15=3,0,BO42)</f>
        <v>0</v>
      </c>
      <c r="BT42" s="80">
        <f>BR42*BS42</f>
        <v>0</v>
      </c>
      <c r="BU42" s="54"/>
      <c r="BV42" s="117">
        <f>IF($BD$15=4,0,BR42)</f>
        <v>0</v>
      </c>
      <c r="BW42" s="118">
        <f>IF($BD$15=4,0,BS42)</f>
        <v>0</v>
      </c>
      <c r="BX42" s="80">
        <f>BV42*BW42</f>
        <v>0</v>
      </c>
      <c r="BY42" s="119"/>
      <c r="BZ42" s="117">
        <f t="shared" si="23"/>
        <v>0</v>
      </c>
      <c r="CA42" s="118">
        <f t="shared" si="13"/>
        <v>0</v>
      </c>
      <c r="CB42" s="80">
        <f>BZ42*CA42</f>
        <v>0</v>
      </c>
      <c r="CC42" s="54"/>
      <c r="CD42" s="117">
        <f t="shared" si="14"/>
        <v>0</v>
      </c>
      <c r="CE42" s="118">
        <f t="shared" si="15"/>
        <v>0</v>
      </c>
      <c r="CF42" s="80">
        <f>CD42*CE42</f>
        <v>0</v>
      </c>
      <c r="CG42" s="54"/>
      <c r="CH42" s="117">
        <f t="shared" si="16"/>
        <v>0</v>
      </c>
      <c r="CI42" s="118">
        <f t="shared" si="17"/>
        <v>0</v>
      </c>
      <c r="CJ42" s="80">
        <f>CH42*CI42</f>
        <v>0</v>
      </c>
      <c r="CK42" s="54"/>
      <c r="CL42" s="117">
        <f t="shared" si="18"/>
        <v>0</v>
      </c>
      <c r="CM42" s="118">
        <f t="shared" si="19"/>
        <v>0</v>
      </c>
      <c r="CN42" s="80">
        <f>CL42*CM42</f>
        <v>0</v>
      </c>
      <c r="CO42" s="54"/>
      <c r="CP42" s="117">
        <f t="shared" si="20"/>
        <v>0</v>
      </c>
      <c r="CQ42" s="118">
        <f t="shared" si="21"/>
        <v>0</v>
      </c>
      <c r="CR42" s="80">
        <f>CP42*CQ42</f>
        <v>0</v>
      </c>
      <c r="CS42" s="119">
        <f t="shared" si="22"/>
        <v>0</v>
      </c>
    </row>
    <row r="43" spans="1:97" ht="16.5" customHeight="1" x14ac:dyDescent="0.25">
      <c r="A43" s="36"/>
      <c r="B43" s="10"/>
      <c r="C43" s="77" t="s">
        <v>92</v>
      </c>
      <c r="H43" s="58"/>
      <c r="I43" s="9"/>
      <c r="M43" s="44"/>
      <c r="N43" s="44"/>
      <c r="O43" s="44"/>
      <c r="P43" s="44"/>
      <c r="Q43" s="44"/>
      <c r="R43" s="44"/>
      <c r="S43" s="44"/>
      <c r="W43" s="44"/>
      <c r="X43" s="78"/>
      <c r="Y43" s="44"/>
      <c r="Z43" s="78"/>
      <c r="AA43" s="44"/>
      <c r="AB43" s="78"/>
      <c r="AC43" s="44"/>
      <c r="AD43" s="78"/>
      <c r="AE43" s="78"/>
      <c r="AI43" s="44"/>
      <c r="AJ43" s="327"/>
      <c r="AK43" s="44"/>
      <c r="AL43" s="327"/>
      <c r="AM43" s="44"/>
      <c r="AN43" s="327"/>
      <c r="AO43" s="44"/>
      <c r="AS43" s="44"/>
      <c r="AT43" s="327"/>
      <c r="AU43" s="44"/>
      <c r="AV43" s="327"/>
      <c r="AW43" s="44"/>
      <c r="AX43" s="327"/>
      <c r="AY43" s="44"/>
      <c r="AZ43" s="327"/>
      <c r="BC43" s="114"/>
      <c r="BD43" s="115"/>
      <c r="BE43" s="120"/>
      <c r="BF43" s="117"/>
      <c r="BG43" s="118"/>
      <c r="BH43" s="80"/>
      <c r="BI43" s="54"/>
      <c r="BJ43" s="117"/>
      <c r="BK43" s="118"/>
      <c r="BL43" s="80"/>
      <c r="BM43" s="54"/>
      <c r="BN43" s="117"/>
      <c r="BO43" s="118"/>
      <c r="BP43" s="80"/>
      <c r="BQ43" s="54"/>
      <c r="BR43" s="117"/>
      <c r="BS43" s="118"/>
      <c r="BT43" s="80"/>
      <c r="BU43" s="54"/>
      <c r="BV43" s="117"/>
      <c r="BW43" s="118"/>
      <c r="BX43" s="80"/>
      <c r="BY43" s="119"/>
      <c r="BZ43" s="117"/>
      <c r="CA43" s="118"/>
      <c r="CB43" s="80"/>
      <c r="CC43" s="54"/>
      <c r="CD43" s="117"/>
      <c r="CE43" s="118"/>
      <c r="CF43" s="80"/>
      <c r="CG43" s="54"/>
      <c r="CH43" s="117"/>
      <c r="CI43" s="118"/>
      <c r="CJ43" s="80"/>
      <c r="CK43" s="54"/>
      <c r="CL43" s="117"/>
      <c r="CM43" s="118"/>
      <c r="CN43" s="80"/>
      <c r="CO43" s="54"/>
      <c r="CP43" s="117"/>
      <c r="CQ43" s="118"/>
      <c r="CR43" s="80"/>
      <c r="CS43" s="119"/>
    </row>
    <row r="44" spans="1:97" ht="16.5" customHeight="1" x14ac:dyDescent="0.25">
      <c r="A44" s="36" t="s">
        <v>253</v>
      </c>
      <c r="B44" s="10"/>
      <c r="D44" s="57" t="str">
        <f>((BF44*100)&amp;"%"&amp;" time, "&amp;BG44&amp;" months, "&amp;BE44)</f>
        <v>0% time, 0 months, CY</v>
      </c>
      <c r="E44" s="57"/>
      <c r="H44" s="58"/>
      <c r="I44" s="9"/>
      <c r="J44" s="78">
        <f>IF(BH44=0,0,($BC44/$BD44*BH44))</f>
        <v>0</v>
      </c>
      <c r="L44" s="78">
        <f>IF(BL44=0,0,($BC44*(1+$BD$7)/$BD44*BL44))</f>
        <v>0</v>
      </c>
      <c r="M44" s="44"/>
      <c r="N44" s="78">
        <f>IF(BP44=0,0,($BC44*(1+$BD$7)^2/$BD44*BP44))</f>
        <v>0</v>
      </c>
      <c r="O44" s="44"/>
      <c r="P44" s="78">
        <f>IF(BT44=0,0,($BC44*(1+$BD$7)^3/$BD44*BT44))</f>
        <v>0</v>
      </c>
      <c r="Q44" s="44"/>
      <c r="R44" s="78">
        <f>IF(BX44=0,0,($BC44*(1+$BD$7)^4/$BD44*BX44))</f>
        <v>0</v>
      </c>
      <c r="S44" s="44"/>
      <c r="T44" s="78">
        <f>IF(CB44=0,0,($BC44*(1+$BD$7)^5/$BD44*CB44))</f>
        <v>0</v>
      </c>
      <c r="V44" s="78">
        <f>IF(CF44=0,0,($BC44*(1+$BD$7)^6/$BD44*CF44))</f>
        <v>0</v>
      </c>
      <c r="W44" s="44"/>
      <c r="X44" s="78">
        <f t="shared" si="2"/>
        <v>0</v>
      </c>
      <c r="Y44" s="44"/>
      <c r="Z44" s="78">
        <f t="shared" si="3"/>
        <v>0</v>
      </c>
      <c r="AA44" s="44"/>
      <c r="AB44" s="78">
        <f t="shared" si="4"/>
        <v>0</v>
      </c>
      <c r="AC44" s="78"/>
      <c r="AD44" s="78">
        <f>J44+L44+N44+P44+R44+T44+V44+X44+Z44+AB44</f>
        <v>0</v>
      </c>
      <c r="AE44" s="78"/>
      <c r="AF44" s="327">
        <f t="shared" si="0"/>
        <v>0</v>
      </c>
      <c r="AH44" s="327">
        <f>IF(BL44=0,0,($BC44*(1+$BD$7)/$BD44*BL44))*0</f>
        <v>0</v>
      </c>
      <c r="AI44" s="44"/>
      <c r="AJ44" s="327">
        <f t="shared" si="5"/>
        <v>0</v>
      </c>
      <c r="AK44" s="44"/>
      <c r="AL44" s="327">
        <f t="shared" si="6"/>
        <v>0</v>
      </c>
      <c r="AM44" s="44"/>
      <c r="AN44" s="327">
        <f t="shared" si="7"/>
        <v>0</v>
      </c>
      <c r="AO44" s="44"/>
      <c r="AP44" s="327">
        <f t="shared" si="8"/>
        <v>0</v>
      </c>
      <c r="AR44" s="327">
        <f t="shared" si="9"/>
        <v>0</v>
      </c>
      <c r="AS44" s="44"/>
      <c r="AT44" s="327">
        <f t="shared" si="10"/>
        <v>0</v>
      </c>
      <c r="AU44" s="44"/>
      <c r="AV44" s="327">
        <f t="shared" si="11"/>
        <v>0</v>
      </c>
      <c r="AW44" s="44"/>
      <c r="AX44" s="327">
        <f t="shared" si="12"/>
        <v>0</v>
      </c>
      <c r="AY44" s="78"/>
      <c r="AZ44" s="327">
        <f>AF44+AH44+AJ44+AL44+AN44+AP44+AR44+AT44+AV44+AX44</f>
        <v>0</v>
      </c>
      <c r="BC44" s="114"/>
      <c r="BD44" s="115">
        <v>12</v>
      </c>
      <c r="BE44" s="120" t="s">
        <v>85</v>
      </c>
      <c r="BF44" s="117">
        <v>0</v>
      </c>
      <c r="BG44" s="118">
        <v>0</v>
      </c>
      <c r="BH44" s="80">
        <f>BF44*BG44</f>
        <v>0</v>
      </c>
      <c r="BI44" s="54"/>
      <c r="BJ44" s="117">
        <f>IF($BD$15=1,0,BF44)</f>
        <v>0</v>
      </c>
      <c r="BK44" s="118">
        <f>IF($BD$15=1,0,BG44)</f>
        <v>0</v>
      </c>
      <c r="BL44" s="80">
        <f>BJ44*BK44</f>
        <v>0</v>
      </c>
      <c r="BM44" s="54"/>
      <c r="BN44" s="117">
        <f>IF($BD$15=2,0,BJ44)</f>
        <v>0</v>
      </c>
      <c r="BO44" s="118">
        <f>IF($BD$15=2,0,BK44)</f>
        <v>0</v>
      </c>
      <c r="BP44" s="80">
        <f>BN44*BO44</f>
        <v>0</v>
      </c>
      <c r="BQ44" s="54"/>
      <c r="BR44" s="117">
        <f>IF($BD$15=3,0,BN44)</f>
        <v>0</v>
      </c>
      <c r="BS44" s="118">
        <f>IF($BD$15=3,0,BO44)</f>
        <v>0</v>
      </c>
      <c r="BT44" s="80">
        <f>BR44*BS44</f>
        <v>0</v>
      </c>
      <c r="BU44" s="54"/>
      <c r="BV44" s="117">
        <f>IF($BD$15=4,0,BR44)</f>
        <v>0</v>
      </c>
      <c r="BW44" s="118">
        <f>IF($BD$15=4,0,BS44)</f>
        <v>0</v>
      </c>
      <c r="BX44" s="80">
        <f>BV44*BW44</f>
        <v>0</v>
      </c>
      <c r="BY44" s="119"/>
      <c r="BZ44" s="117">
        <f t="shared" si="23"/>
        <v>0</v>
      </c>
      <c r="CA44" s="118">
        <f t="shared" si="13"/>
        <v>0</v>
      </c>
      <c r="CB44" s="80">
        <f>BZ44*CA44</f>
        <v>0</v>
      </c>
      <c r="CC44" s="54"/>
      <c r="CD44" s="117">
        <f t="shared" si="14"/>
        <v>0</v>
      </c>
      <c r="CE44" s="118">
        <f t="shared" si="15"/>
        <v>0</v>
      </c>
      <c r="CF44" s="80">
        <f>CD44*CE44</f>
        <v>0</v>
      </c>
      <c r="CG44" s="54"/>
      <c r="CH44" s="117">
        <f t="shared" si="16"/>
        <v>0</v>
      </c>
      <c r="CI44" s="118">
        <f t="shared" si="17"/>
        <v>0</v>
      </c>
      <c r="CJ44" s="80">
        <f>CH44*CI44</f>
        <v>0</v>
      </c>
      <c r="CK44" s="54"/>
      <c r="CL44" s="117">
        <f t="shared" si="18"/>
        <v>0</v>
      </c>
      <c r="CM44" s="118">
        <f t="shared" si="19"/>
        <v>0</v>
      </c>
      <c r="CN44" s="80">
        <f>CL44*CM44</f>
        <v>0</v>
      </c>
      <c r="CO44" s="54"/>
      <c r="CP44" s="117">
        <f t="shared" si="20"/>
        <v>0</v>
      </c>
      <c r="CQ44" s="118">
        <f t="shared" si="21"/>
        <v>0</v>
      </c>
      <c r="CR44" s="80">
        <f>CP44*CQ44</f>
        <v>0</v>
      </c>
      <c r="CS44" s="119">
        <f t="shared" si="22"/>
        <v>0</v>
      </c>
    </row>
    <row r="45" spans="1:97" ht="16.5" customHeight="1" x14ac:dyDescent="0.25">
      <c r="A45" s="36"/>
      <c r="B45" s="10"/>
      <c r="C45" s="77" t="s">
        <v>92</v>
      </c>
      <c r="H45" s="58"/>
      <c r="I45" s="9"/>
      <c r="M45" s="44"/>
      <c r="N45" s="78"/>
      <c r="O45" s="44"/>
      <c r="P45" s="78"/>
      <c r="Q45" s="44"/>
      <c r="R45" s="78"/>
      <c r="S45" s="44"/>
      <c r="W45" s="44"/>
      <c r="X45" s="78"/>
      <c r="Y45" s="44"/>
      <c r="Z45" s="78"/>
      <c r="AA45" s="44"/>
      <c r="AB45" s="78"/>
      <c r="AC45" s="78"/>
      <c r="AD45" s="78"/>
      <c r="AE45" s="78"/>
      <c r="AI45" s="44"/>
      <c r="AJ45" s="327"/>
      <c r="AK45" s="44"/>
      <c r="AL45" s="327"/>
      <c r="AM45" s="44"/>
      <c r="AN45" s="327"/>
      <c r="AO45" s="44"/>
      <c r="AS45" s="44"/>
      <c r="AT45" s="327"/>
      <c r="AU45" s="44"/>
      <c r="AV45" s="327"/>
      <c r="AW45" s="44"/>
      <c r="AX45" s="327"/>
      <c r="AY45" s="78"/>
      <c r="AZ45" s="327"/>
      <c r="BC45" s="114"/>
      <c r="BD45" s="115"/>
      <c r="BE45" s="120"/>
      <c r="BF45" s="117"/>
      <c r="BG45" s="118"/>
      <c r="BH45" s="80"/>
      <c r="BI45" s="54"/>
      <c r="BJ45" s="117"/>
      <c r="BK45" s="118"/>
      <c r="BL45" s="80"/>
      <c r="BM45" s="54"/>
      <c r="BN45" s="117"/>
      <c r="BO45" s="118"/>
      <c r="BP45" s="80"/>
      <c r="BQ45" s="54"/>
      <c r="BR45" s="117"/>
      <c r="BS45" s="118"/>
      <c r="BT45" s="80"/>
      <c r="BU45" s="54"/>
      <c r="BV45" s="117"/>
      <c r="BW45" s="118"/>
      <c r="BX45" s="80"/>
      <c r="BY45" s="119"/>
      <c r="BZ45" s="117"/>
      <c r="CA45" s="118"/>
      <c r="CB45" s="80"/>
      <c r="CC45" s="54"/>
      <c r="CD45" s="117"/>
      <c r="CE45" s="118"/>
      <c r="CF45" s="80"/>
      <c r="CG45" s="54"/>
      <c r="CH45" s="117"/>
      <c r="CI45" s="118"/>
      <c r="CJ45" s="80"/>
      <c r="CK45" s="54"/>
      <c r="CL45" s="117"/>
      <c r="CM45" s="118"/>
      <c r="CN45" s="80"/>
      <c r="CO45" s="54"/>
      <c r="CP45" s="117"/>
      <c r="CQ45" s="118"/>
      <c r="CR45" s="80"/>
      <c r="CS45" s="119"/>
    </row>
    <row r="46" spans="1:97" ht="16.5" customHeight="1" x14ac:dyDescent="0.25">
      <c r="A46" s="36" t="s">
        <v>253</v>
      </c>
      <c r="B46" s="10"/>
      <c r="D46" s="57" t="str">
        <f>((BF46*100)&amp;"%"&amp;" time, "&amp;BG46&amp;" months, "&amp;BE46)</f>
        <v>0% time, 0 months, CY</v>
      </c>
      <c r="E46" s="57"/>
      <c r="H46" s="58"/>
      <c r="I46" s="9"/>
      <c r="J46" s="78">
        <f>IF(BH46=0,0,($BC46/$BD46*BH46))</f>
        <v>0</v>
      </c>
      <c r="L46" s="78">
        <f>IF(BL46=0,0,($BC46*(1+$BD$7)/$BD46*BL46))</f>
        <v>0</v>
      </c>
      <c r="M46" s="44"/>
      <c r="N46" s="78">
        <f>IF(BP46=0,0,($BC46*(1+$BD$7)^2/$BD46*BP46))</f>
        <v>0</v>
      </c>
      <c r="O46" s="44"/>
      <c r="P46" s="78">
        <f>IF(BT46=0,0,($BC46*(1+$BD$7)^3/$BD46*BT46))</f>
        <v>0</v>
      </c>
      <c r="Q46" s="44"/>
      <c r="R46" s="78">
        <f>IF(BX46=0,0,($BC46*(1+$BD$7)^4/$BD46*BX46))</f>
        <v>0</v>
      </c>
      <c r="S46" s="44"/>
      <c r="T46" s="78">
        <f>IF(CB46=0,0,($BC46*(1+$BD$7)^5/$BD46*CB46))</f>
        <v>0</v>
      </c>
      <c r="V46" s="78">
        <f>IF(CF46=0,0,($BC46*(1+$BD$7)^6/$BD46*CF46))</f>
        <v>0</v>
      </c>
      <c r="W46" s="44"/>
      <c r="X46" s="78">
        <f t="shared" si="2"/>
        <v>0</v>
      </c>
      <c r="Y46" s="44"/>
      <c r="Z46" s="78">
        <f t="shared" si="3"/>
        <v>0</v>
      </c>
      <c r="AA46" s="44"/>
      <c r="AB46" s="78">
        <f t="shared" si="4"/>
        <v>0</v>
      </c>
      <c r="AC46" s="78"/>
      <c r="AD46" s="78">
        <f>J46+L46+N46+P46+R46+T46+V46+X46+Z46+AB46</f>
        <v>0</v>
      </c>
      <c r="AE46" s="78"/>
      <c r="AF46" s="327">
        <f>IF(BH46=0,0,($BC46/$BD46*BH46))*0</f>
        <v>0</v>
      </c>
      <c r="AH46" s="327">
        <f t="shared" si="1"/>
        <v>0</v>
      </c>
      <c r="AI46" s="44"/>
      <c r="AJ46" s="327">
        <f t="shared" si="5"/>
        <v>0</v>
      </c>
      <c r="AK46" s="44"/>
      <c r="AL46" s="327">
        <f t="shared" si="6"/>
        <v>0</v>
      </c>
      <c r="AM46" s="44"/>
      <c r="AN46" s="327">
        <f t="shared" si="7"/>
        <v>0</v>
      </c>
      <c r="AO46" s="44"/>
      <c r="AP46" s="327">
        <f t="shared" si="8"/>
        <v>0</v>
      </c>
      <c r="AR46" s="327">
        <f t="shared" si="9"/>
        <v>0</v>
      </c>
      <c r="AS46" s="44"/>
      <c r="AT46" s="327">
        <f t="shared" si="10"/>
        <v>0</v>
      </c>
      <c r="AU46" s="44"/>
      <c r="AV46" s="327">
        <f t="shared" si="11"/>
        <v>0</v>
      </c>
      <c r="AW46" s="44"/>
      <c r="AX46" s="327">
        <f t="shared" si="12"/>
        <v>0</v>
      </c>
      <c r="AY46" s="78"/>
      <c r="AZ46" s="327">
        <f>AF46+AH46+AJ46+AL46+AN46+AP46+AR46+AT46+AV46+AX46</f>
        <v>0</v>
      </c>
      <c r="BA46" s="44"/>
      <c r="BC46" s="114"/>
      <c r="BD46" s="115">
        <v>12</v>
      </c>
      <c r="BE46" s="120" t="s">
        <v>85</v>
      </c>
      <c r="BF46" s="117">
        <v>0</v>
      </c>
      <c r="BG46" s="118">
        <v>0</v>
      </c>
      <c r="BH46" s="80">
        <f>BF46*BG46</f>
        <v>0</v>
      </c>
      <c r="BI46" s="54"/>
      <c r="BJ46" s="117">
        <f>IF($BD$15=1,0,BF46)</f>
        <v>0</v>
      </c>
      <c r="BK46" s="118">
        <f>IF($BD$15=1,0,BG46)</f>
        <v>0</v>
      </c>
      <c r="BL46" s="80">
        <f>BJ46*BK46</f>
        <v>0</v>
      </c>
      <c r="BM46" s="54"/>
      <c r="BN46" s="117">
        <f>IF($BD$15=2,0,BJ46)</f>
        <v>0</v>
      </c>
      <c r="BO46" s="118">
        <f>IF($BD$15=2,0,BK46)</f>
        <v>0</v>
      </c>
      <c r="BP46" s="80">
        <f>BN46*BO46</f>
        <v>0</v>
      </c>
      <c r="BQ46" s="54"/>
      <c r="BR46" s="117">
        <f>IF($BD$15=3,0,BN46)</f>
        <v>0</v>
      </c>
      <c r="BS46" s="118">
        <f>IF($BD$15=3,0,BO46)</f>
        <v>0</v>
      </c>
      <c r="BT46" s="80">
        <f>BR46*BS46</f>
        <v>0</v>
      </c>
      <c r="BU46" s="54"/>
      <c r="BV46" s="117">
        <f>IF($BD$15=4,0,BR46)</f>
        <v>0</v>
      </c>
      <c r="BW46" s="118">
        <f>IF($BD$15=4,0,BS46)</f>
        <v>0</v>
      </c>
      <c r="BX46" s="80">
        <f>BV46*BW46</f>
        <v>0</v>
      </c>
      <c r="BY46" s="119"/>
      <c r="BZ46" s="117">
        <f t="shared" si="23"/>
        <v>0</v>
      </c>
      <c r="CA46" s="118">
        <f t="shared" si="13"/>
        <v>0</v>
      </c>
      <c r="CB46" s="80">
        <f>BZ46*CA46</f>
        <v>0</v>
      </c>
      <c r="CC46" s="54"/>
      <c r="CD46" s="117">
        <f t="shared" si="14"/>
        <v>0</v>
      </c>
      <c r="CE46" s="118">
        <f t="shared" si="15"/>
        <v>0</v>
      </c>
      <c r="CF46" s="80">
        <f>CD46*CE46</f>
        <v>0</v>
      </c>
      <c r="CG46" s="54"/>
      <c r="CH46" s="117">
        <f t="shared" si="16"/>
        <v>0</v>
      </c>
      <c r="CI46" s="118">
        <f t="shared" si="17"/>
        <v>0</v>
      </c>
      <c r="CJ46" s="80">
        <f>CH46*CI46</f>
        <v>0</v>
      </c>
      <c r="CK46" s="54"/>
      <c r="CL46" s="117">
        <f t="shared" si="18"/>
        <v>0</v>
      </c>
      <c r="CM46" s="118">
        <f t="shared" si="19"/>
        <v>0</v>
      </c>
      <c r="CN46" s="80">
        <f>CL46*CM46</f>
        <v>0</v>
      </c>
      <c r="CO46" s="54"/>
      <c r="CP46" s="117">
        <f t="shared" si="20"/>
        <v>0</v>
      </c>
      <c r="CQ46" s="118">
        <f t="shared" si="21"/>
        <v>0</v>
      </c>
      <c r="CR46" s="80">
        <f>CP46*CQ46</f>
        <v>0</v>
      </c>
      <c r="CS46" s="119">
        <f t="shared" si="22"/>
        <v>0</v>
      </c>
    </row>
    <row r="47" spans="1:97" ht="16.5" customHeight="1" x14ac:dyDescent="0.25">
      <c r="A47" s="36"/>
      <c r="B47" s="10"/>
      <c r="C47" s="77" t="s">
        <v>52</v>
      </c>
      <c r="H47" s="58"/>
      <c r="I47" s="9"/>
      <c r="M47" s="44"/>
      <c r="N47" s="78"/>
      <c r="O47" s="44"/>
      <c r="P47" s="78"/>
      <c r="Q47" s="44"/>
      <c r="R47" s="78"/>
      <c r="S47" s="44"/>
      <c r="W47" s="44"/>
      <c r="X47" s="78"/>
      <c r="Y47" s="44"/>
      <c r="Z47" s="78"/>
      <c r="AA47" s="44"/>
      <c r="AB47" s="78"/>
      <c r="AC47" s="78"/>
      <c r="AD47" s="78"/>
      <c r="AE47" s="78"/>
      <c r="AI47" s="44"/>
      <c r="AJ47" s="327"/>
      <c r="AK47" s="44"/>
      <c r="AL47" s="327"/>
      <c r="AM47" s="44"/>
      <c r="AN47" s="327"/>
      <c r="AO47" s="44"/>
      <c r="AS47" s="44"/>
      <c r="AT47" s="327"/>
      <c r="AU47" s="44"/>
      <c r="AV47" s="327"/>
      <c r="AW47" s="44"/>
      <c r="AX47" s="327"/>
      <c r="AY47" s="78"/>
      <c r="AZ47" s="327"/>
      <c r="BC47" s="121"/>
      <c r="BD47" s="115"/>
      <c r="BE47" s="120"/>
      <c r="BF47" s="117"/>
      <c r="BG47" s="118"/>
      <c r="BH47" s="80"/>
      <c r="BI47" s="54"/>
      <c r="BJ47" s="117"/>
      <c r="BK47" s="118"/>
      <c r="BL47" s="80"/>
      <c r="BM47" s="54"/>
      <c r="BN47" s="117"/>
      <c r="BO47" s="118"/>
      <c r="BP47" s="80"/>
      <c r="BQ47" s="54"/>
      <c r="BR47" s="117"/>
      <c r="BS47" s="118"/>
      <c r="BT47" s="80"/>
      <c r="BU47" s="54"/>
      <c r="BV47" s="117"/>
      <c r="BW47" s="118"/>
      <c r="BX47" s="80"/>
      <c r="BY47" s="119"/>
      <c r="BZ47" s="117"/>
      <c r="CA47" s="118"/>
      <c r="CB47" s="80"/>
      <c r="CC47" s="54"/>
      <c r="CD47" s="117"/>
      <c r="CE47" s="118"/>
      <c r="CF47" s="80"/>
      <c r="CG47" s="54"/>
      <c r="CH47" s="117"/>
      <c r="CI47" s="118"/>
      <c r="CJ47" s="80"/>
      <c r="CK47" s="54"/>
      <c r="CL47" s="117"/>
      <c r="CM47" s="118"/>
      <c r="CN47" s="80"/>
      <c r="CO47" s="54"/>
      <c r="CP47" s="117"/>
      <c r="CQ47" s="118"/>
      <c r="CR47" s="80"/>
      <c r="CS47" s="119"/>
    </row>
    <row r="48" spans="1:97" ht="16.5" customHeight="1" x14ac:dyDescent="0.25">
      <c r="A48" s="36" t="s">
        <v>52</v>
      </c>
      <c r="B48" s="10"/>
      <c r="D48" s="57" t="str">
        <f>((BF48*100)&amp;"%"&amp;" time, "&amp;BG48&amp;" months, "&amp;BE48)</f>
        <v>50% time, 9 months, AY</v>
      </c>
      <c r="E48" s="57"/>
      <c r="H48" s="58"/>
      <c r="I48" s="9"/>
      <c r="J48" s="78">
        <f>IF(BH48=0,0,($BC48/$BD48*BH48))</f>
        <v>0</v>
      </c>
      <c r="L48" s="78">
        <f>IF(BL48=0,0,($BC48*(1+$BD$7)/$BD48*BL48))</f>
        <v>0</v>
      </c>
      <c r="M48" s="44"/>
      <c r="N48" s="78">
        <f>IF(BP48=0,0,($BC48*(1+$BD$7)^2/$BD48*BP48))</f>
        <v>0</v>
      </c>
      <c r="O48" s="44"/>
      <c r="P48" s="78">
        <f>IF(BT48=0,0,($BC48*(1+$BD$7)^3/$BD48*BT48))</f>
        <v>0</v>
      </c>
      <c r="Q48" s="44"/>
      <c r="R48" s="78">
        <f>IF(BX48=0,0,($BC48*(1+$BD$7)^4/$BD48*BX48))</f>
        <v>0</v>
      </c>
      <c r="S48" s="44"/>
      <c r="T48" s="78">
        <f>IF(CB48=0,0,($BC48*(1+$BD$7)^5/$BD48*CB48))</f>
        <v>0</v>
      </c>
      <c r="V48" s="78">
        <f>IF(CF48=0,0,($BC48*(1+$BD$7)^6/$BD48*CF48))</f>
        <v>0</v>
      </c>
      <c r="W48" s="44"/>
      <c r="X48" s="78">
        <f t="shared" si="2"/>
        <v>0</v>
      </c>
      <c r="Y48" s="44"/>
      <c r="Z48" s="78">
        <f t="shared" si="3"/>
        <v>0</v>
      </c>
      <c r="AA48" s="44"/>
      <c r="AB48" s="78">
        <f t="shared" si="4"/>
        <v>0</v>
      </c>
      <c r="AC48" s="78"/>
      <c r="AD48" s="78">
        <f>J48+L48+N48+P48+R48+T48+V48+X48+Z48+AB48</f>
        <v>0</v>
      </c>
      <c r="AE48" s="78"/>
      <c r="AF48" s="327">
        <f t="shared" si="0"/>
        <v>0</v>
      </c>
      <c r="AH48" s="327">
        <f t="shared" si="1"/>
        <v>0</v>
      </c>
      <c r="AI48" s="44"/>
      <c r="AJ48" s="327">
        <f t="shared" si="5"/>
        <v>0</v>
      </c>
      <c r="AK48" s="44"/>
      <c r="AL48" s="327">
        <f t="shared" si="6"/>
        <v>0</v>
      </c>
      <c r="AM48" s="44"/>
      <c r="AN48" s="327">
        <f t="shared" si="7"/>
        <v>0</v>
      </c>
      <c r="AO48" s="44"/>
      <c r="AP48" s="327">
        <f t="shared" si="8"/>
        <v>0</v>
      </c>
      <c r="AR48" s="327">
        <f t="shared" si="9"/>
        <v>0</v>
      </c>
      <c r="AS48" s="44"/>
      <c r="AT48" s="327">
        <f t="shared" si="10"/>
        <v>0</v>
      </c>
      <c r="AU48" s="44"/>
      <c r="AV48" s="327">
        <f t="shared" si="11"/>
        <v>0</v>
      </c>
      <c r="AW48" s="44"/>
      <c r="AX48" s="327">
        <f t="shared" si="12"/>
        <v>0</v>
      </c>
      <c r="AY48" s="78"/>
      <c r="AZ48" s="327">
        <f>AF48+AH48+AJ48+AL48+AN48+AP48+AR48+AT48+AV48+AX48</f>
        <v>0</v>
      </c>
      <c r="BC48" s="114"/>
      <c r="BD48" s="115">
        <v>9</v>
      </c>
      <c r="BE48" s="120" t="s">
        <v>86</v>
      </c>
      <c r="BF48" s="117">
        <v>0.5</v>
      </c>
      <c r="BG48" s="118">
        <v>9</v>
      </c>
      <c r="BH48" s="80">
        <f>BF48*BG48</f>
        <v>4.5</v>
      </c>
      <c r="BI48" s="54"/>
      <c r="BJ48" s="117">
        <f>IF($BD$15=1,0,BF48)</f>
        <v>0.5</v>
      </c>
      <c r="BK48" s="118">
        <f>IF($BD$15=1,0,BG48)</f>
        <v>9</v>
      </c>
      <c r="BL48" s="80">
        <f>BJ48*BK48</f>
        <v>4.5</v>
      </c>
      <c r="BM48" s="54"/>
      <c r="BN48" s="117">
        <f>IF($BD$15=2,0,BJ48)</f>
        <v>0.5</v>
      </c>
      <c r="BO48" s="118">
        <f>IF($BD$15=2,0,BK48)</f>
        <v>9</v>
      </c>
      <c r="BP48" s="80">
        <f>BN48*BO48</f>
        <v>4.5</v>
      </c>
      <c r="BQ48" s="54"/>
      <c r="BR48" s="117">
        <f>IF($BD$15=3,0,BN48)</f>
        <v>0.5</v>
      </c>
      <c r="BS48" s="118">
        <f>IF($BD$15=3,0,BO48)</f>
        <v>9</v>
      </c>
      <c r="BT48" s="80">
        <f>BR48*BS48</f>
        <v>4.5</v>
      </c>
      <c r="BU48" s="54"/>
      <c r="BV48" s="117">
        <f>IF($BD$15=4,0,BR48)</f>
        <v>0.5</v>
      </c>
      <c r="BW48" s="118">
        <f>IF($BD$15=4,0,BS48)</f>
        <v>9</v>
      </c>
      <c r="BX48" s="80">
        <f>BV48*BW48</f>
        <v>4.5</v>
      </c>
      <c r="BY48" s="119"/>
      <c r="BZ48" s="117">
        <f t="shared" si="23"/>
        <v>0</v>
      </c>
      <c r="CA48" s="118">
        <f t="shared" si="13"/>
        <v>0</v>
      </c>
      <c r="CB48" s="80">
        <f>BZ48*CA48</f>
        <v>0</v>
      </c>
      <c r="CC48" s="54"/>
      <c r="CD48" s="117">
        <f>IF($BD$15=6,0,BZ48)</f>
        <v>0</v>
      </c>
      <c r="CE48" s="118">
        <f t="shared" si="15"/>
        <v>0</v>
      </c>
      <c r="CF48" s="80">
        <f>CD48*CE48</f>
        <v>0</v>
      </c>
      <c r="CG48" s="54"/>
      <c r="CH48" s="117">
        <f>IF($BD$15=7,0,CD48)</f>
        <v>0</v>
      </c>
      <c r="CI48" s="118">
        <f t="shared" si="17"/>
        <v>0</v>
      </c>
      <c r="CJ48" s="80">
        <f>CH48*CI48</f>
        <v>0</v>
      </c>
      <c r="CK48" s="54"/>
      <c r="CL48" s="117">
        <f t="shared" si="18"/>
        <v>0</v>
      </c>
      <c r="CM48" s="118">
        <f t="shared" si="19"/>
        <v>0</v>
      </c>
      <c r="CN48" s="80">
        <f>CL48*CM48</f>
        <v>0</v>
      </c>
      <c r="CO48" s="54"/>
      <c r="CP48" s="117">
        <f t="shared" si="20"/>
        <v>0</v>
      </c>
      <c r="CQ48" s="118">
        <f t="shared" si="21"/>
        <v>0</v>
      </c>
      <c r="CR48" s="80">
        <f>CP48*CQ48</f>
        <v>0</v>
      </c>
      <c r="CS48" s="119">
        <f t="shared" si="22"/>
        <v>22.5</v>
      </c>
    </row>
    <row r="49" spans="1:97" ht="16.5" customHeight="1" x14ac:dyDescent="0.25">
      <c r="A49" s="36" t="s">
        <v>52</v>
      </c>
      <c r="B49" s="10"/>
      <c r="D49" s="57" t="str">
        <f>((BF49*100)&amp;"%"&amp;" time, "&amp;BG49&amp;" months, "&amp;BE49)</f>
        <v>100% time, 3 months, Summer</v>
      </c>
      <c r="E49" s="57"/>
      <c r="H49" s="58"/>
      <c r="I49" s="9"/>
      <c r="J49" s="78">
        <f>IF(BH49=0,0,($BC49/$BD49*BH49))</f>
        <v>0</v>
      </c>
      <c r="L49" s="78">
        <f>IF(BL49=0,0,($BC49*(1+$BD$7)/$BD49*BL49))</f>
        <v>0</v>
      </c>
      <c r="M49" s="44"/>
      <c r="N49" s="78">
        <f>IF(BP49=0,0,($BC49*(1+$BD$7)^2/$BD49*BP49))</f>
        <v>0</v>
      </c>
      <c r="O49" s="44"/>
      <c r="P49" s="78">
        <f>IF(BT49=0,0,($BC49*(1+$BD$7)^3/$BD49*BT49))</f>
        <v>0</v>
      </c>
      <c r="Q49" s="44"/>
      <c r="R49" s="78">
        <f>IF(BX49=0,0,($BC49*(1+$BD$7)^4/$BD49*BX49))</f>
        <v>0</v>
      </c>
      <c r="S49" s="44"/>
      <c r="T49" s="78">
        <f>IF(CB49=0,0,($BC49*(1+$BD$7)^5/$BD49*CB49))</f>
        <v>0</v>
      </c>
      <c r="V49" s="78">
        <f>IF(CF49=0,0,($BC49*(1+$BD$7)^6/$BD49*CF49))</f>
        <v>0</v>
      </c>
      <c r="W49" s="44"/>
      <c r="X49" s="78">
        <f t="shared" si="2"/>
        <v>0</v>
      </c>
      <c r="Y49" s="44"/>
      <c r="Z49" s="78">
        <f t="shared" si="3"/>
        <v>0</v>
      </c>
      <c r="AA49" s="44"/>
      <c r="AB49" s="78">
        <f t="shared" si="4"/>
        <v>0</v>
      </c>
      <c r="AC49" s="78"/>
      <c r="AD49" s="78">
        <f>J49+L49+N49+P49+R49+T49+V49+X49+Z49+AB49</f>
        <v>0</v>
      </c>
      <c r="AE49" s="78"/>
      <c r="AF49" s="327">
        <f t="shared" si="0"/>
        <v>0</v>
      </c>
      <c r="AH49" s="327">
        <f t="shared" si="1"/>
        <v>0</v>
      </c>
      <c r="AI49" s="44"/>
      <c r="AJ49" s="327">
        <f t="shared" si="5"/>
        <v>0</v>
      </c>
      <c r="AK49" s="44"/>
      <c r="AL49" s="327">
        <f t="shared" si="6"/>
        <v>0</v>
      </c>
      <c r="AM49" s="44"/>
      <c r="AN49" s="327">
        <f t="shared" si="7"/>
        <v>0</v>
      </c>
      <c r="AO49" s="44"/>
      <c r="AP49" s="327">
        <f t="shared" si="8"/>
        <v>0</v>
      </c>
      <c r="AR49" s="327">
        <f t="shared" si="9"/>
        <v>0</v>
      </c>
      <c r="AS49" s="44"/>
      <c r="AT49" s="327">
        <f t="shared" si="10"/>
        <v>0</v>
      </c>
      <c r="AU49" s="44"/>
      <c r="AV49" s="327">
        <f t="shared" si="11"/>
        <v>0</v>
      </c>
      <c r="AW49" s="44"/>
      <c r="AX49" s="327">
        <f t="shared" si="12"/>
        <v>0</v>
      </c>
      <c r="AY49" s="78"/>
      <c r="AZ49" s="327">
        <f>AF49+AH49+AJ49+AL49+AN49+AP49+AR49+AT49+AV49+AX49</f>
        <v>0</v>
      </c>
      <c r="BC49" s="114"/>
      <c r="BD49" s="115">
        <v>3</v>
      </c>
      <c r="BE49" s="120" t="s">
        <v>87</v>
      </c>
      <c r="BF49" s="117">
        <v>1</v>
      </c>
      <c r="BG49" s="118">
        <v>3</v>
      </c>
      <c r="BH49" s="80">
        <f>BF49*BG49</f>
        <v>3</v>
      </c>
      <c r="BI49" s="54"/>
      <c r="BJ49" s="117">
        <f>IF($BD$15=1,0,BF49)</f>
        <v>1</v>
      </c>
      <c r="BK49" s="118">
        <f>IF($BD$15=1,0,BG49)</f>
        <v>3</v>
      </c>
      <c r="BL49" s="80">
        <f>BJ49*BK49</f>
        <v>3</v>
      </c>
      <c r="BM49" s="54"/>
      <c r="BN49" s="117">
        <f>IF($BD$15=2,0,BJ49)</f>
        <v>1</v>
      </c>
      <c r="BO49" s="118">
        <f>IF($BD$15=2,0,BK49)</f>
        <v>3</v>
      </c>
      <c r="BP49" s="80">
        <f>BN49*BO49</f>
        <v>3</v>
      </c>
      <c r="BQ49" s="54"/>
      <c r="BR49" s="117">
        <f>IF($BD$15=3,0,BN49)</f>
        <v>1</v>
      </c>
      <c r="BS49" s="118">
        <f>IF($BD$15=3,0,BO49)</f>
        <v>3</v>
      </c>
      <c r="BT49" s="80">
        <f>BR49*BS49</f>
        <v>3</v>
      </c>
      <c r="BU49" s="54"/>
      <c r="BV49" s="117">
        <f>IF($BD$15=4,0,BR49)</f>
        <v>1</v>
      </c>
      <c r="BW49" s="118">
        <f>IF($BD$15=4,0,BS49)</f>
        <v>3</v>
      </c>
      <c r="BX49" s="80">
        <f>BV49*BW49</f>
        <v>3</v>
      </c>
      <c r="BY49" s="119"/>
      <c r="BZ49" s="117">
        <f t="shared" si="23"/>
        <v>0</v>
      </c>
      <c r="CA49" s="118">
        <f t="shared" si="13"/>
        <v>0</v>
      </c>
      <c r="CB49" s="80">
        <f>BZ49*CA49</f>
        <v>0</v>
      </c>
      <c r="CC49" s="54"/>
      <c r="CD49" s="117">
        <f t="shared" si="14"/>
        <v>0</v>
      </c>
      <c r="CE49" s="118">
        <f t="shared" si="15"/>
        <v>0</v>
      </c>
      <c r="CF49" s="80">
        <f>CD49*CE49</f>
        <v>0</v>
      </c>
      <c r="CG49" s="54"/>
      <c r="CH49" s="117">
        <f t="shared" si="16"/>
        <v>0</v>
      </c>
      <c r="CI49" s="118">
        <f>IF($BD$15=7,0,CE49)</f>
        <v>0</v>
      </c>
      <c r="CJ49" s="80">
        <f>CH49*CI49</f>
        <v>0</v>
      </c>
      <c r="CK49" s="54"/>
      <c r="CL49" s="117">
        <f t="shared" si="18"/>
        <v>0</v>
      </c>
      <c r="CM49" s="118">
        <f t="shared" si="19"/>
        <v>0</v>
      </c>
      <c r="CN49" s="80">
        <f>CL49*CM49</f>
        <v>0</v>
      </c>
      <c r="CO49" s="54"/>
      <c r="CP49" s="117">
        <f>IF($BD$15=9,0,CL49)</f>
        <v>0</v>
      </c>
      <c r="CQ49" s="118">
        <f t="shared" si="21"/>
        <v>0</v>
      </c>
      <c r="CR49" s="80">
        <f>CP49*CQ49</f>
        <v>0</v>
      </c>
      <c r="CS49" s="119">
        <f t="shared" si="22"/>
        <v>15</v>
      </c>
    </row>
    <row r="50" spans="1:97" x14ac:dyDescent="0.25">
      <c r="A50" s="36"/>
      <c r="C50" s="77" t="s">
        <v>52</v>
      </c>
      <c r="H50" s="58"/>
      <c r="I50" s="9"/>
      <c r="M50" s="44"/>
      <c r="N50" s="44"/>
      <c r="O50" s="44"/>
      <c r="P50" s="44"/>
      <c r="Q50" s="44"/>
      <c r="R50" s="44"/>
      <c r="S50" s="44"/>
      <c r="W50" s="44"/>
      <c r="X50" s="78"/>
      <c r="Y50" s="44"/>
      <c r="Z50" s="78"/>
      <c r="AA50" s="44"/>
      <c r="AB50" s="78"/>
      <c r="AC50" s="44"/>
      <c r="AD50" s="78"/>
      <c r="AI50" s="44"/>
      <c r="AJ50" s="327"/>
      <c r="AK50" s="44"/>
      <c r="AL50" s="327"/>
      <c r="AM50" s="44"/>
      <c r="AN50" s="327"/>
      <c r="AO50" s="44"/>
      <c r="AS50" s="44"/>
      <c r="AT50" s="327"/>
      <c r="AU50" s="44"/>
      <c r="AV50" s="327"/>
      <c r="AW50" s="44"/>
      <c r="AX50" s="327"/>
      <c r="AY50" s="44"/>
      <c r="AZ50" s="327"/>
      <c r="BC50" s="114"/>
      <c r="BD50" s="115"/>
      <c r="BE50" s="120"/>
      <c r="BF50" s="117"/>
      <c r="BG50" s="118"/>
      <c r="BH50" s="80"/>
      <c r="BI50" s="54"/>
      <c r="BJ50" s="117"/>
      <c r="BK50" s="118"/>
      <c r="BL50" s="80"/>
      <c r="BM50" s="54"/>
      <c r="BN50" s="117"/>
      <c r="BO50" s="118"/>
      <c r="BP50" s="80"/>
      <c r="BQ50" s="54"/>
      <c r="BR50" s="117"/>
      <c r="BS50" s="118"/>
      <c r="BT50" s="80"/>
      <c r="BU50" s="54"/>
      <c r="BV50" s="117"/>
      <c r="BW50" s="118"/>
      <c r="BX50" s="80"/>
      <c r="BY50" s="119"/>
      <c r="BZ50" s="117"/>
      <c r="CA50" s="118"/>
      <c r="CB50" s="80"/>
      <c r="CC50" s="54"/>
      <c r="CD50" s="117"/>
      <c r="CE50" s="118"/>
      <c r="CF50" s="80"/>
      <c r="CG50" s="54"/>
      <c r="CH50" s="117"/>
      <c r="CI50" s="118"/>
      <c r="CJ50" s="80"/>
      <c r="CK50" s="54"/>
      <c r="CL50" s="117"/>
      <c r="CM50" s="118"/>
      <c r="CN50" s="80"/>
      <c r="CO50" s="54"/>
      <c r="CP50" s="117"/>
      <c r="CQ50" s="118"/>
      <c r="CR50" s="80"/>
      <c r="CS50" s="119"/>
    </row>
    <row r="51" spans="1:97" ht="16.5" customHeight="1" x14ac:dyDescent="0.25">
      <c r="A51" s="36" t="s">
        <v>52</v>
      </c>
      <c r="B51" s="10"/>
      <c r="D51" s="57" t="str">
        <f>((BF51*100)&amp;"%"&amp;" time, "&amp;BG51&amp;" months, "&amp;BE51)</f>
        <v>50% time, 9 months, AY</v>
      </c>
      <c r="E51" s="57"/>
      <c r="H51" s="58"/>
      <c r="I51" s="9"/>
      <c r="J51" s="78">
        <f>IF(BH51=0,0,($BC51/$BD51*BH51))</f>
        <v>0</v>
      </c>
      <c r="L51" s="78">
        <f>IF(BL51=0,0,($BC51*(1+$BD$7)/$BD51*BL51))</f>
        <v>0</v>
      </c>
      <c r="M51" s="44"/>
      <c r="N51" s="78">
        <f>IF(BP51=0,0,($BC51*(1+$BD$7)^2/$BD51*BP51))</f>
        <v>0</v>
      </c>
      <c r="O51" s="44"/>
      <c r="P51" s="78">
        <f>IF(BT51=0,0,($BC51*(1+$BD$7)^3/$BD51*BT51))</f>
        <v>0</v>
      </c>
      <c r="Q51" s="44"/>
      <c r="R51" s="78">
        <f>IF(BX51=0,0,($BC51*(1+$BD$7)^4/$BD51*BX51))</f>
        <v>0</v>
      </c>
      <c r="S51" s="44"/>
      <c r="T51" s="78">
        <f>IF(CB51=0,0,($BC51*(1+$BD$7)^5/$BD51*CB51))</f>
        <v>0</v>
      </c>
      <c r="V51" s="78">
        <f>IF(CF51=0,0,($BC51*(1+$BD$7)^6/$BD51*CF51))</f>
        <v>0</v>
      </c>
      <c r="W51" s="44"/>
      <c r="X51" s="78">
        <f t="shared" si="2"/>
        <v>0</v>
      </c>
      <c r="Y51" s="44"/>
      <c r="Z51" s="78">
        <f t="shared" si="3"/>
        <v>0</v>
      </c>
      <c r="AA51" s="44"/>
      <c r="AB51" s="78">
        <f t="shared" si="4"/>
        <v>0</v>
      </c>
      <c r="AC51" s="78"/>
      <c r="AD51" s="78">
        <f>J51+L51+N51+P51+R51+T51+V51+X51+Z51+AB51</f>
        <v>0</v>
      </c>
      <c r="AE51" s="78"/>
      <c r="AF51" s="327">
        <f t="shared" si="0"/>
        <v>0</v>
      </c>
      <c r="AH51" s="327">
        <f t="shared" si="1"/>
        <v>0</v>
      </c>
      <c r="AI51" s="44"/>
      <c r="AJ51" s="327">
        <f t="shared" si="5"/>
        <v>0</v>
      </c>
      <c r="AK51" s="44"/>
      <c r="AL51" s="327">
        <f t="shared" si="6"/>
        <v>0</v>
      </c>
      <c r="AM51" s="44"/>
      <c r="AN51" s="327">
        <f t="shared" si="7"/>
        <v>0</v>
      </c>
      <c r="AO51" s="44"/>
      <c r="AP51" s="327">
        <f t="shared" si="8"/>
        <v>0</v>
      </c>
      <c r="AR51" s="327">
        <f t="shared" si="9"/>
        <v>0</v>
      </c>
      <c r="AS51" s="44"/>
      <c r="AT51" s="327">
        <f t="shared" si="10"/>
        <v>0</v>
      </c>
      <c r="AU51" s="44"/>
      <c r="AV51" s="327">
        <f t="shared" si="11"/>
        <v>0</v>
      </c>
      <c r="AW51" s="44"/>
      <c r="AX51" s="327">
        <f t="shared" si="12"/>
        <v>0</v>
      </c>
      <c r="AY51" s="78"/>
      <c r="AZ51" s="327">
        <f>AF51+AH51+AJ51+AL51+AN51+AP51+AR51+AT51+AV51+AX51</f>
        <v>0</v>
      </c>
      <c r="BC51" s="114"/>
      <c r="BD51" s="115">
        <v>9</v>
      </c>
      <c r="BE51" s="120" t="s">
        <v>86</v>
      </c>
      <c r="BF51" s="117">
        <v>0.5</v>
      </c>
      <c r="BG51" s="118">
        <v>9</v>
      </c>
      <c r="BH51" s="80">
        <f>BF51*BG51</f>
        <v>4.5</v>
      </c>
      <c r="BI51" s="54"/>
      <c r="BJ51" s="117">
        <f>IF($BD$15=1,0,BF51)</f>
        <v>0.5</v>
      </c>
      <c r="BK51" s="118">
        <f>IF($BD$15=1,0,BG51)</f>
        <v>9</v>
      </c>
      <c r="BL51" s="80">
        <f>BJ51*BK51</f>
        <v>4.5</v>
      </c>
      <c r="BM51" s="54"/>
      <c r="BN51" s="117">
        <f>IF($BD$15=2,0,BJ51)</f>
        <v>0.5</v>
      </c>
      <c r="BO51" s="118">
        <f>IF($BD$15=2,0,BK51)</f>
        <v>9</v>
      </c>
      <c r="BP51" s="80">
        <f>BN51*BO51</f>
        <v>4.5</v>
      </c>
      <c r="BQ51" s="54"/>
      <c r="BR51" s="117">
        <f>IF($BD$15=3,0,BN51)</f>
        <v>0.5</v>
      </c>
      <c r="BS51" s="118">
        <f>IF($BD$15=3,0,BO51)</f>
        <v>9</v>
      </c>
      <c r="BT51" s="80">
        <f>BR51*BS51</f>
        <v>4.5</v>
      </c>
      <c r="BU51" s="54"/>
      <c r="BV51" s="117">
        <f>IF($BD$15=4,0,BR51)</f>
        <v>0.5</v>
      </c>
      <c r="BW51" s="118">
        <f>IF($BD$15=4,0,BS51)</f>
        <v>9</v>
      </c>
      <c r="BX51" s="80">
        <f>BV51*BW51</f>
        <v>4.5</v>
      </c>
      <c r="BY51" s="119"/>
      <c r="BZ51" s="117">
        <f t="shared" si="23"/>
        <v>0</v>
      </c>
      <c r="CA51" s="118">
        <f t="shared" si="13"/>
        <v>0</v>
      </c>
      <c r="CB51" s="80">
        <f>BZ51*CA51</f>
        <v>0</v>
      </c>
      <c r="CC51" s="54"/>
      <c r="CD51" s="117">
        <f t="shared" si="14"/>
        <v>0</v>
      </c>
      <c r="CE51" s="118">
        <f t="shared" si="15"/>
        <v>0</v>
      </c>
      <c r="CF51" s="80">
        <f>CD51*CE51</f>
        <v>0</v>
      </c>
      <c r="CG51" s="54"/>
      <c r="CH51" s="117">
        <f t="shared" si="16"/>
        <v>0</v>
      </c>
      <c r="CI51" s="118">
        <f t="shared" si="17"/>
        <v>0</v>
      </c>
      <c r="CJ51" s="80">
        <f>CH51*CI51</f>
        <v>0</v>
      </c>
      <c r="CK51" s="54"/>
      <c r="CL51" s="117">
        <f t="shared" si="18"/>
        <v>0</v>
      </c>
      <c r="CM51" s="118">
        <f t="shared" si="19"/>
        <v>0</v>
      </c>
      <c r="CN51" s="80">
        <f>CL51*CM51</f>
        <v>0</v>
      </c>
      <c r="CO51" s="54"/>
      <c r="CP51" s="117">
        <f t="shared" si="20"/>
        <v>0</v>
      </c>
      <c r="CQ51" s="118">
        <f t="shared" si="21"/>
        <v>0</v>
      </c>
      <c r="CR51" s="80">
        <f>CP51*CQ51</f>
        <v>0</v>
      </c>
      <c r="CS51" s="119">
        <f t="shared" si="22"/>
        <v>22.5</v>
      </c>
    </row>
    <row r="52" spans="1:97" ht="16.5" customHeight="1" x14ac:dyDescent="0.25">
      <c r="A52" s="36" t="s">
        <v>52</v>
      </c>
      <c r="B52" s="10"/>
      <c r="D52" s="57" t="str">
        <f>((BF52*100)&amp;"%"&amp;" time, "&amp;BG52&amp;" months, "&amp;BE52)</f>
        <v>100% time, 3 months, Summer</v>
      </c>
      <c r="E52" s="57"/>
      <c r="H52" s="58"/>
      <c r="I52" s="9"/>
      <c r="J52" s="78">
        <f>IF(BH52=0,0,($BC52/$BD52*BH52))</f>
        <v>0</v>
      </c>
      <c r="L52" s="78">
        <f>IF(BL52=0,0,($BC52*(1+$BD$7)/$BD52*BL52))</f>
        <v>0</v>
      </c>
      <c r="M52" s="44"/>
      <c r="N52" s="78">
        <f>IF(BP52=0,0,($BC52*(1+$BD$7)^2/$BD52*BP52))</f>
        <v>0</v>
      </c>
      <c r="O52" s="44"/>
      <c r="P52" s="78">
        <f>IF(BT52=0,0,($BC52*(1+$BD$7)^3/$BD52*BT52))</f>
        <v>0</v>
      </c>
      <c r="Q52" s="44"/>
      <c r="R52" s="78">
        <f>IF(BX52=0,0,($BC52*(1+$BD$7)^4/$BD52*BX52))</f>
        <v>0</v>
      </c>
      <c r="S52" s="44"/>
      <c r="T52" s="78">
        <f>IF(CB52=0,0,($BC52*(1+$BD$7)^5/$BD52*CB52))</f>
        <v>0</v>
      </c>
      <c r="V52" s="78">
        <f>IF(CF52=0,0,($BC52*(1+$BD$7)^6/$BD52*CF52))</f>
        <v>0</v>
      </c>
      <c r="W52" s="44"/>
      <c r="X52" s="78">
        <f t="shared" si="2"/>
        <v>0</v>
      </c>
      <c r="Y52" s="44"/>
      <c r="Z52" s="78">
        <f t="shared" si="3"/>
        <v>0</v>
      </c>
      <c r="AA52" s="44"/>
      <c r="AB52" s="78">
        <f t="shared" si="4"/>
        <v>0</v>
      </c>
      <c r="AC52" s="78"/>
      <c r="AD52" s="78">
        <f>J52+L52+N52+P52+R52+T52+V52+X52+Z52+AB52</f>
        <v>0</v>
      </c>
      <c r="AE52" s="78"/>
      <c r="AF52" s="327">
        <f t="shared" si="0"/>
        <v>0</v>
      </c>
      <c r="AH52" s="327">
        <f t="shared" si="1"/>
        <v>0</v>
      </c>
      <c r="AI52" s="44"/>
      <c r="AJ52" s="327">
        <f t="shared" si="5"/>
        <v>0</v>
      </c>
      <c r="AK52" s="44"/>
      <c r="AL52" s="327">
        <f t="shared" si="6"/>
        <v>0</v>
      </c>
      <c r="AM52" s="44"/>
      <c r="AN52" s="327">
        <f t="shared" si="7"/>
        <v>0</v>
      </c>
      <c r="AO52" s="44"/>
      <c r="AP52" s="327">
        <f t="shared" si="8"/>
        <v>0</v>
      </c>
      <c r="AR52" s="327">
        <f t="shared" si="9"/>
        <v>0</v>
      </c>
      <c r="AS52" s="44"/>
      <c r="AT52" s="327">
        <f t="shared" si="10"/>
        <v>0</v>
      </c>
      <c r="AU52" s="44"/>
      <c r="AV52" s="327">
        <f t="shared" si="11"/>
        <v>0</v>
      </c>
      <c r="AW52" s="44"/>
      <c r="AX52" s="327">
        <f t="shared" si="12"/>
        <v>0</v>
      </c>
      <c r="AY52" s="78"/>
      <c r="AZ52" s="327">
        <f>AF52+AH52+AJ52+AL52+AN52+AP52+AR52+AT52+AV52+AX52</f>
        <v>0</v>
      </c>
      <c r="BC52" s="114"/>
      <c r="BD52" s="115">
        <v>3</v>
      </c>
      <c r="BE52" s="120" t="s">
        <v>87</v>
      </c>
      <c r="BF52" s="117">
        <v>1</v>
      </c>
      <c r="BG52" s="118">
        <v>3</v>
      </c>
      <c r="BH52" s="80">
        <f>BF52*BG52</f>
        <v>3</v>
      </c>
      <c r="BI52" s="54"/>
      <c r="BJ52" s="117">
        <f>IF($BD$15=1,0,BF52)</f>
        <v>1</v>
      </c>
      <c r="BK52" s="118">
        <f>IF($BD$15=1,0,BG52)</f>
        <v>3</v>
      </c>
      <c r="BL52" s="80">
        <f>BJ52*BK52</f>
        <v>3</v>
      </c>
      <c r="BM52" s="54"/>
      <c r="BN52" s="117">
        <f>IF($BD$15=2,0,BJ52)</f>
        <v>1</v>
      </c>
      <c r="BO52" s="118">
        <f>IF($BD$15=2,0,BK52)</f>
        <v>3</v>
      </c>
      <c r="BP52" s="80">
        <f>BN52*BO52</f>
        <v>3</v>
      </c>
      <c r="BQ52" s="54"/>
      <c r="BR52" s="117">
        <f>IF($BD$15=3,0,BN52)</f>
        <v>1</v>
      </c>
      <c r="BS52" s="118">
        <f>IF($BD$15=3,0,BO52)</f>
        <v>3</v>
      </c>
      <c r="BT52" s="80">
        <f>BR52*BS52</f>
        <v>3</v>
      </c>
      <c r="BU52" s="54"/>
      <c r="BV52" s="117">
        <f>IF($BD$15=4,0,BR52)</f>
        <v>1</v>
      </c>
      <c r="BW52" s="118">
        <f>IF($BD$15=4,0,BS52)</f>
        <v>3</v>
      </c>
      <c r="BX52" s="80">
        <f>BV52*BW52</f>
        <v>3</v>
      </c>
      <c r="BY52" s="119"/>
      <c r="BZ52" s="117">
        <f t="shared" si="23"/>
        <v>0</v>
      </c>
      <c r="CA52" s="118">
        <f t="shared" si="13"/>
        <v>0</v>
      </c>
      <c r="CB52" s="80">
        <f>BZ52*CA52</f>
        <v>0</v>
      </c>
      <c r="CC52" s="54"/>
      <c r="CD52" s="117">
        <f t="shared" si="14"/>
        <v>0</v>
      </c>
      <c r="CE52" s="118">
        <f t="shared" si="15"/>
        <v>0</v>
      </c>
      <c r="CF52" s="80">
        <f>CD52*CE52</f>
        <v>0</v>
      </c>
      <c r="CG52" s="54"/>
      <c r="CH52" s="117">
        <f t="shared" si="16"/>
        <v>0</v>
      </c>
      <c r="CI52" s="118">
        <f t="shared" si="17"/>
        <v>0</v>
      </c>
      <c r="CJ52" s="80">
        <f>CH52*CI52</f>
        <v>0</v>
      </c>
      <c r="CK52" s="54"/>
      <c r="CL52" s="117">
        <f t="shared" si="18"/>
        <v>0</v>
      </c>
      <c r="CM52" s="118">
        <f t="shared" si="19"/>
        <v>0</v>
      </c>
      <c r="CN52" s="80">
        <f>CL52*CM52</f>
        <v>0</v>
      </c>
      <c r="CO52" s="54"/>
      <c r="CP52" s="117">
        <f t="shared" si="20"/>
        <v>0</v>
      </c>
      <c r="CQ52" s="118">
        <f t="shared" si="21"/>
        <v>0</v>
      </c>
      <c r="CR52" s="80">
        <f>CP52*CQ52</f>
        <v>0</v>
      </c>
      <c r="CS52" s="119">
        <f t="shared" si="22"/>
        <v>15</v>
      </c>
    </row>
    <row r="53" spans="1:97" ht="16.5" customHeight="1" x14ac:dyDescent="0.25">
      <c r="A53" s="36"/>
      <c r="B53" s="10"/>
      <c r="C53" s="77" t="s">
        <v>52</v>
      </c>
      <c r="H53" s="58"/>
      <c r="I53" s="9"/>
      <c r="M53" s="44"/>
      <c r="N53" s="78"/>
      <c r="O53" s="44"/>
      <c r="P53" s="78"/>
      <c r="Q53" s="44"/>
      <c r="R53" s="78"/>
      <c r="S53" s="44"/>
      <c r="W53" s="44"/>
      <c r="X53" s="78"/>
      <c r="Y53" s="44"/>
      <c r="Z53" s="78"/>
      <c r="AA53" s="44"/>
      <c r="AB53" s="78"/>
      <c r="AC53" s="78"/>
      <c r="AD53" s="78"/>
      <c r="AE53" s="78"/>
      <c r="AI53" s="44"/>
      <c r="AJ53" s="327"/>
      <c r="AK53" s="44"/>
      <c r="AL53" s="327"/>
      <c r="AM53" s="44"/>
      <c r="AN53" s="327"/>
      <c r="AO53" s="44"/>
      <c r="AS53" s="44"/>
      <c r="AT53" s="327"/>
      <c r="AU53" s="44"/>
      <c r="AV53" s="327"/>
      <c r="AW53" s="44"/>
      <c r="AX53" s="327"/>
      <c r="AY53" s="78"/>
      <c r="AZ53" s="327"/>
      <c r="BC53" s="114"/>
      <c r="BD53" s="115"/>
      <c r="BE53" s="120"/>
      <c r="BF53" s="117"/>
      <c r="BG53" s="118"/>
      <c r="BH53" s="80"/>
      <c r="BI53" s="54"/>
      <c r="BJ53" s="117"/>
      <c r="BK53" s="118"/>
      <c r="BL53" s="80"/>
      <c r="BM53" s="54"/>
      <c r="BN53" s="117"/>
      <c r="BO53" s="118"/>
      <c r="BP53" s="80"/>
      <c r="BQ53" s="54"/>
      <c r="BR53" s="117"/>
      <c r="BS53" s="118"/>
      <c r="BT53" s="80"/>
      <c r="BU53" s="54"/>
      <c r="BV53" s="117"/>
      <c r="BW53" s="118"/>
      <c r="BX53" s="80"/>
      <c r="BY53" s="119"/>
      <c r="BZ53" s="117"/>
      <c r="CA53" s="118"/>
      <c r="CB53" s="80"/>
      <c r="CC53" s="54"/>
      <c r="CD53" s="117"/>
      <c r="CE53" s="118"/>
      <c r="CF53" s="80"/>
      <c r="CG53" s="54"/>
      <c r="CH53" s="117"/>
      <c r="CI53" s="118"/>
      <c r="CJ53" s="80"/>
      <c r="CK53" s="54"/>
      <c r="CL53" s="117"/>
      <c r="CM53" s="118"/>
      <c r="CN53" s="80"/>
      <c r="CO53" s="54"/>
      <c r="CP53" s="117"/>
      <c r="CQ53" s="118"/>
      <c r="CR53" s="80"/>
      <c r="CS53" s="119"/>
    </row>
    <row r="54" spans="1:97" ht="16.5" customHeight="1" x14ac:dyDescent="0.25">
      <c r="A54" s="36" t="s">
        <v>52</v>
      </c>
      <c r="B54" s="10"/>
      <c r="D54" s="57" t="str">
        <f>((BF54*100)&amp;"%"&amp;" time, "&amp;BG54&amp;" months, "&amp;BE54)</f>
        <v>50% time, 9 months, AY</v>
      </c>
      <c r="E54" s="57"/>
      <c r="H54" s="58"/>
      <c r="I54" s="9"/>
      <c r="J54" s="78">
        <f>IF(BH54=0,0,($BC54/$BD54*BH54))</f>
        <v>0</v>
      </c>
      <c r="L54" s="78">
        <f>IF(BL54=0,0,($BC54*(1+$BD$7)/$BD54*BL54))</f>
        <v>0</v>
      </c>
      <c r="M54" s="44"/>
      <c r="N54" s="78">
        <f>IF(BP54=0,0,($BC54*(1+$BD$7)^2/$BD54*BP54))</f>
        <v>0</v>
      </c>
      <c r="O54" s="44"/>
      <c r="P54" s="78">
        <f>IF(BT54=0,0,($BC54*(1+$BD$7)^3/$BD54*BT54))</f>
        <v>0</v>
      </c>
      <c r="Q54" s="44"/>
      <c r="R54" s="78">
        <f>IF(BX54=0,0,($BC54*(1+$BD$7)^4/$BD54*BX54))</f>
        <v>0</v>
      </c>
      <c r="S54" s="44"/>
      <c r="T54" s="78">
        <f>IF(CB54=0,0,($BC54*(1+$BD$7)^5/$BD54*CB54))</f>
        <v>0</v>
      </c>
      <c r="V54" s="78">
        <f>IF(CF54=0,0,($BC54*(1+$BD$7)^6/$BD54*CF54))</f>
        <v>0</v>
      </c>
      <c r="W54" s="44"/>
      <c r="X54" s="78">
        <f t="shared" si="2"/>
        <v>0</v>
      </c>
      <c r="Y54" s="44"/>
      <c r="Z54" s="78">
        <f t="shared" si="3"/>
        <v>0</v>
      </c>
      <c r="AA54" s="44"/>
      <c r="AB54" s="78">
        <f t="shared" si="4"/>
        <v>0</v>
      </c>
      <c r="AC54" s="78"/>
      <c r="AD54" s="78">
        <f>J54+L54+N54+P54+R54+T54+V54+X54+Z54+AB54</f>
        <v>0</v>
      </c>
      <c r="AE54" s="78"/>
      <c r="AF54" s="327">
        <f t="shared" si="0"/>
        <v>0</v>
      </c>
      <c r="AH54" s="327">
        <f t="shared" si="1"/>
        <v>0</v>
      </c>
      <c r="AI54" s="44"/>
      <c r="AJ54" s="327">
        <f t="shared" si="5"/>
        <v>0</v>
      </c>
      <c r="AK54" s="44"/>
      <c r="AL54" s="327">
        <f t="shared" si="6"/>
        <v>0</v>
      </c>
      <c r="AM54" s="44"/>
      <c r="AN54" s="327">
        <f t="shared" si="7"/>
        <v>0</v>
      </c>
      <c r="AO54" s="44"/>
      <c r="AP54" s="327">
        <f t="shared" si="8"/>
        <v>0</v>
      </c>
      <c r="AR54" s="327">
        <f t="shared" si="9"/>
        <v>0</v>
      </c>
      <c r="AS54" s="44"/>
      <c r="AT54" s="327">
        <f t="shared" si="10"/>
        <v>0</v>
      </c>
      <c r="AU54" s="44"/>
      <c r="AV54" s="327">
        <f t="shared" si="11"/>
        <v>0</v>
      </c>
      <c r="AW54" s="44"/>
      <c r="AX54" s="327">
        <f t="shared" si="12"/>
        <v>0</v>
      </c>
      <c r="AY54" s="78"/>
      <c r="AZ54" s="327">
        <f>AF54+AH54+AJ54+AL54+AN54+AP54+AR54+AT54+AV54+AX54</f>
        <v>0</v>
      </c>
      <c r="BC54" s="114"/>
      <c r="BD54" s="115">
        <v>9</v>
      </c>
      <c r="BE54" s="120" t="s">
        <v>86</v>
      </c>
      <c r="BF54" s="117">
        <v>0.5</v>
      </c>
      <c r="BG54" s="118">
        <v>9</v>
      </c>
      <c r="BH54" s="80">
        <f>BF54*BG54</f>
        <v>4.5</v>
      </c>
      <c r="BI54" s="54"/>
      <c r="BJ54" s="117">
        <f>IF($BD$15=1,0,BF54)</f>
        <v>0.5</v>
      </c>
      <c r="BK54" s="118">
        <f>IF($BD$15=1,0,BG54)</f>
        <v>9</v>
      </c>
      <c r="BL54" s="80">
        <f>BJ54*BK54</f>
        <v>4.5</v>
      </c>
      <c r="BM54" s="54"/>
      <c r="BN54" s="117">
        <f>IF($BD$15=2,0,BJ54)</f>
        <v>0.5</v>
      </c>
      <c r="BO54" s="118">
        <f>IF($BD$15=2,0,BK54)</f>
        <v>9</v>
      </c>
      <c r="BP54" s="80">
        <f>BN54*BO54</f>
        <v>4.5</v>
      </c>
      <c r="BQ54" s="54"/>
      <c r="BR54" s="117">
        <f>IF($BD$15=3,0,BN54)</f>
        <v>0.5</v>
      </c>
      <c r="BS54" s="118">
        <f>IF($BD$15=3,0,BO54)</f>
        <v>9</v>
      </c>
      <c r="BT54" s="80">
        <f>BR54*BS54</f>
        <v>4.5</v>
      </c>
      <c r="BU54" s="54"/>
      <c r="BV54" s="117">
        <f>IF($BD$15=4,0,BR54)</f>
        <v>0.5</v>
      </c>
      <c r="BW54" s="118">
        <f>IF($BD$15=4,0,BS54)</f>
        <v>9</v>
      </c>
      <c r="BX54" s="80">
        <f>BV54*BW54</f>
        <v>4.5</v>
      </c>
      <c r="BY54" s="119"/>
      <c r="BZ54" s="117">
        <f t="shared" si="23"/>
        <v>0</v>
      </c>
      <c r="CA54" s="118">
        <f t="shared" si="13"/>
        <v>0</v>
      </c>
      <c r="CB54" s="80">
        <f>BZ54*CA54</f>
        <v>0</v>
      </c>
      <c r="CC54" s="54"/>
      <c r="CD54" s="117">
        <f t="shared" si="14"/>
        <v>0</v>
      </c>
      <c r="CE54" s="118">
        <f t="shared" si="15"/>
        <v>0</v>
      </c>
      <c r="CF54" s="80">
        <f>CD54*CE54</f>
        <v>0</v>
      </c>
      <c r="CG54" s="54"/>
      <c r="CH54" s="117">
        <f t="shared" si="16"/>
        <v>0</v>
      </c>
      <c r="CI54" s="118">
        <f t="shared" si="17"/>
        <v>0</v>
      </c>
      <c r="CJ54" s="80">
        <f>CH54*CI54</f>
        <v>0</v>
      </c>
      <c r="CK54" s="54"/>
      <c r="CL54" s="117">
        <f t="shared" si="18"/>
        <v>0</v>
      </c>
      <c r="CM54" s="118">
        <f t="shared" si="19"/>
        <v>0</v>
      </c>
      <c r="CN54" s="80">
        <f>CL54*CM54</f>
        <v>0</v>
      </c>
      <c r="CO54" s="54"/>
      <c r="CP54" s="117">
        <f t="shared" si="20"/>
        <v>0</v>
      </c>
      <c r="CQ54" s="118">
        <f t="shared" si="21"/>
        <v>0</v>
      </c>
      <c r="CR54" s="80">
        <f>CP54*CQ54</f>
        <v>0</v>
      </c>
      <c r="CS54" s="119">
        <f t="shared" si="22"/>
        <v>22.5</v>
      </c>
    </row>
    <row r="55" spans="1:97" ht="16.5" customHeight="1" x14ac:dyDescent="0.25">
      <c r="A55" s="36" t="s">
        <v>52</v>
      </c>
      <c r="B55" s="10"/>
      <c r="D55" s="57" t="str">
        <f>((BF55*100)&amp;"%"&amp;" time, "&amp;BG55&amp;" months, "&amp;BE55)</f>
        <v>100% time, 3 months, Summer</v>
      </c>
      <c r="E55" s="57"/>
      <c r="H55" s="58"/>
      <c r="I55" s="9"/>
      <c r="J55" s="78">
        <f>IF(BH55=0,0,($BC55/$BD55*BH55))</f>
        <v>0</v>
      </c>
      <c r="L55" s="78">
        <f>IF(BL55=0,0,($BC55*(1+$BD$7)/$BD55*BL55))</f>
        <v>0</v>
      </c>
      <c r="M55" s="44"/>
      <c r="N55" s="78">
        <f>IF(BP55=0,0,($BC55*(1+$BD$7)^2/$BD55*BP55))</f>
        <v>0</v>
      </c>
      <c r="O55" s="44"/>
      <c r="P55" s="78">
        <f>IF(BT55=0,0,($BC55*(1+$BD$7)^3/$BD55*BT55))</f>
        <v>0</v>
      </c>
      <c r="Q55" s="44"/>
      <c r="R55" s="78">
        <f>IF(BX55=0,0,($BC55*(1+$BD$7)^4/$BD55*BX55))</f>
        <v>0</v>
      </c>
      <c r="S55" s="44"/>
      <c r="T55" s="78">
        <f>IF(CB55=0,0,($BC55*(1+$BD$7)^5/$BD55*CB55))</f>
        <v>0</v>
      </c>
      <c r="V55" s="78">
        <f>IF(CF55=0,0,($BC55*(1+$BD$7)^6/$BD55*CF55))</f>
        <v>0</v>
      </c>
      <c r="W55" s="44"/>
      <c r="X55" s="78">
        <f t="shared" si="2"/>
        <v>0</v>
      </c>
      <c r="Y55" s="44"/>
      <c r="Z55" s="78">
        <f t="shared" si="3"/>
        <v>0</v>
      </c>
      <c r="AA55" s="44"/>
      <c r="AB55" s="78">
        <f t="shared" si="4"/>
        <v>0</v>
      </c>
      <c r="AC55" s="78"/>
      <c r="AD55" s="78">
        <f>J55+L55+N55+P55+R55+T55+V55+X55+Z55+AB55</f>
        <v>0</v>
      </c>
      <c r="AE55" s="78"/>
      <c r="AF55" s="327">
        <f t="shared" si="0"/>
        <v>0</v>
      </c>
      <c r="AH55" s="327">
        <f t="shared" si="1"/>
        <v>0</v>
      </c>
      <c r="AI55" s="44"/>
      <c r="AJ55" s="327">
        <f t="shared" si="5"/>
        <v>0</v>
      </c>
      <c r="AK55" s="44"/>
      <c r="AL55" s="327">
        <f t="shared" si="6"/>
        <v>0</v>
      </c>
      <c r="AM55" s="44"/>
      <c r="AN55" s="327">
        <f t="shared" si="7"/>
        <v>0</v>
      </c>
      <c r="AO55" s="44"/>
      <c r="AP55" s="327">
        <f t="shared" si="8"/>
        <v>0</v>
      </c>
      <c r="AR55" s="327">
        <f t="shared" si="9"/>
        <v>0</v>
      </c>
      <c r="AS55" s="44"/>
      <c r="AT55" s="327">
        <f t="shared" si="10"/>
        <v>0</v>
      </c>
      <c r="AU55" s="44"/>
      <c r="AV55" s="327">
        <f t="shared" si="11"/>
        <v>0</v>
      </c>
      <c r="AW55" s="44"/>
      <c r="AX55" s="327">
        <f t="shared" si="12"/>
        <v>0</v>
      </c>
      <c r="AY55" s="78"/>
      <c r="AZ55" s="327">
        <f>AF55+AH55+AJ55+AL55+AN55+AP55+AR55+AT55+AV55+AX55</f>
        <v>0</v>
      </c>
      <c r="BC55" s="114"/>
      <c r="BD55" s="115">
        <v>3</v>
      </c>
      <c r="BE55" s="120" t="s">
        <v>87</v>
      </c>
      <c r="BF55" s="117">
        <v>1</v>
      </c>
      <c r="BG55" s="118">
        <v>3</v>
      </c>
      <c r="BH55" s="80">
        <f>BF55*BG55</f>
        <v>3</v>
      </c>
      <c r="BI55" s="54"/>
      <c r="BJ55" s="117">
        <f>IF($BD$15=1,0,BF55)</f>
        <v>1</v>
      </c>
      <c r="BK55" s="118">
        <f>IF($BD$15=1,0,BG55)</f>
        <v>3</v>
      </c>
      <c r="BL55" s="80">
        <f>BJ55*BK55</f>
        <v>3</v>
      </c>
      <c r="BM55" s="54"/>
      <c r="BN55" s="117">
        <f>IF($BD$15=2,0,BJ55)</f>
        <v>1</v>
      </c>
      <c r="BO55" s="118">
        <f>IF($BD$15=2,0,BK55)</f>
        <v>3</v>
      </c>
      <c r="BP55" s="80">
        <f>BN55*BO55</f>
        <v>3</v>
      </c>
      <c r="BQ55" s="54"/>
      <c r="BR55" s="117">
        <f>IF($BD$15=3,0,BN55)</f>
        <v>1</v>
      </c>
      <c r="BS55" s="118">
        <f>IF($BD$15=3,0,BO55)</f>
        <v>3</v>
      </c>
      <c r="BT55" s="80">
        <f>BR55*BS55</f>
        <v>3</v>
      </c>
      <c r="BU55" s="54"/>
      <c r="BV55" s="117">
        <f>IF($BD$15=4,0,BR55)</f>
        <v>1</v>
      </c>
      <c r="BW55" s="118">
        <f>IF($BD$15=4,0,BS55)</f>
        <v>3</v>
      </c>
      <c r="BX55" s="80">
        <f>BV55*BW55</f>
        <v>3</v>
      </c>
      <c r="BY55" s="119"/>
      <c r="BZ55" s="117">
        <f t="shared" si="23"/>
        <v>0</v>
      </c>
      <c r="CA55" s="118">
        <f t="shared" si="13"/>
        <v>0</v>
      </c>
      <c r="CB55" s="80">
        <f>BZ55*CA55</f>
        <v>0</v>
      </c>
      <c r="CC55" s="54"/>
      <c r="CD55" s="117">
        <f t="shared" si="14"/>
        <v>0</v>
      </c>
      <c r="CE55" s="118">
        <f t="shared" si="15"/>
        <v>0</v>
      </c>
      <c r="CF55" s="80">
        <f>CD55*CE55</f>
        <v>0</v>
      </c>
      <c r="CG55" s="54"/>
      <c r="CH55" s="117">
        <f t="shared" si="16"/>
        <v>0</v>
      </c>
      <c r="CI55" s="118">
        <f t="shared" si="17"/>
        <v>0</v>
      </c>
      <c r="CJ55" s="80">
        <f>CH55*CI55</f>
        <v>0</v>
      </c>
      <c r="CK55" s="54"/>
      <c r="CL55" s="117">
        <f t="shared" si="18"/>
        <v>0</v>
      </c>
      <c r="CM55" s="118">
        <f t="shared" si="19"/>
        <v>0</v>
      </c>
      <c r="CN55" s="80">
        <f>CL55*CM55</f>
        <v>0</v>
      </c>
      <c r="CO55" s="54"/>
      <c r="CP55" s="117">
        <f t="shared" si="20"/>
        <v>0</v>
      </c>
      <c r="CQ55" s="118">
        <f t="shared" si="21"/>
        <v>0</v>
      </c>
      <c r="CR55" s="80">
        <f>CP55*CQ55</f>
        <v>0</v>
      </c>
      <c r="CS55" s="119">
        <f t="shared" si="22"/>
        <v>15</v>
      </c>
    </row>
    <row r="56" spans="1:97" x14ac:dyDescent="0.25">
      <c r="A56" s="36"/>
      <c r="C56" s="77" t="s">
        <v>52</v>
      </c>
      <c r="H56" s="58"/>
      <c r="I56" s="9"/>
      <c r="M56" s="44"/>
      <c r="N56" s="44"/>
      <c r="O56" s="44"/>
      <c r="P56" s="44"/>
      <c r="Q56" s="44"/>
      <c r="R56" s="44"/>
      <c r="S56" s="44"/>
      <c r="W56" s="44"/>
      <c r="X56" s="78"/>
      <c r="Y56" s="44"/>
      <c r="Z56" s="78"/>
      <c r="AA56" s="44"/>
      <c r="AB56" s="78"/>
      <c r="AC56" s="44"/>
      <c r="AD56" s="78"/>
      <c r="AI56" s="44"/>
      <c r="AJ56" s="327"/>
      <c r="AK56" s="44"/>
      <c r="AL56" s="327"/>
      <c r="AM56" s="44"/>
      <c r="AN56" s="327"/>
      <c r="AO56" s="44"/>
      <c r="AS56" s="44"/>
      <c r="AT56" s="327"/>
      <c r="AU56" s="44"/>
      <c r="AV56" s="327"/>
      <c r="AW56" s="44"/>
      <c r="AX56" s="327"/>
      <c r="AY56" s="44"/>
      <c r="AZ56" s="327"/>
      <c r="BC56" s="114"/>
      <c r="BD56" s="115"/>
      <c r="BE56" s="120"/>
      <c r="BF56" s="117"/>
      <c r="BG56" s="118"/>
      <c r="BH56" s="80"/>
      <c r="BI56" s="54"/>
      <c r="BJ56" s="117"/>
      <c r="BK56" s="118"/>
      <c r="BL56" s="80"/>
      <c r="BM56" s="54"/>
      <c r="BN56" s="117"/>
      <c r="BO56" s="118"/>
      <c r="BP56" s="80"/>
      <c r="BQ56" s="54"/>
      <c r="BR56" s="117"/>
      <c r="BS56" s="118"/>
      <c r="BT56" s="80"/>
      <c r="BU56" s="54"/>
      <c r="BV56" s="117"/>
      <c r="BW56" s="118"/>
      <c r="BX56" s="80"/>
      <c r="BY56" s="119"/>
      <c r="BZ56" s="117"/>
      <c r="CA56" s="118"/>
      <c r="CB56" s="80"/>
      <c r="CC56" s="54"/>
      <c r="CD56" s="117"/>
      <c r="CE56" s="118"/>
      <c r="CF56" s="80"/>
      <c r="CG56" s="54"/>
      <c r="CH56" s="117"/>
      <c r="CI56" s="118"/>
      <c r="CJ56" s="80"/>
      <c r="CK56" s="54"/>
      <c r="CL56" s="117"/>
      <c r="CM56" s="118"/>
      <c r="CN56" s="80"/>
      <c r="CO56" s="54"/>
      <c r="CP56" s="117"/>
      <c r="CQ56" s="118"/>
      <c r="CR56" s="80"/>
      <c r="CS56" s="119"/>
    </row>
    <row r="57" spans="1:97" ht="16.5" customHeight="1" x14ac:dyDescent="0.25">
      <c r="A57" s="36" t="s">
        <v>52</v>
      </c>
      <c r="B57" s="10"/>
      <c r="D57" s="57" t="str">
        <f>((BF57*100)&amp;"%"&amp;" time, "&amp;BG57&amp;" months, "&amp;BE57)</f>
        <v>50% time, 9 months, AY</v>
      </c>
      <c r="E57" s="57"/>
      <c r="H57" s="58"/>
      <c r="I57" s="9"/>
      <c r="J57" s="78">
        <f>IF(BH57=0,0,($BC57/$BD57*BH57))</f>
        <v>0</v>
      </c>
      <c r="L57" s="78">
        <f>IF(BL57=0,0,($BC57*(1+$BD$7)/$BD57*BL57))</f>
        <v>0</v>
      </c>
      <c r="M57" s="44"/>
      <c r="N57" s="78">
        <f>IF(BP57=0,0,($BC57*(1+$BD$7)^2/$BD57*BP57))</f>
        <v>0</v>
      </c>
      <c r="O57" s="44"/>
      <c r="P57" s="78">
        <f>IF(BT57=0,0,($BC57*(1+$BD$7)^3/$BD57*BT57))</f>
        <v>0</v>
      </c>
      <c r="Q57" s="44"/>
      <c r="R57" s="78">
        <f>IF(BX57=0,0,($BC57*(1+$BD$7)^4/$BD57*BX57))</f>
        <v>0</v>
      </c>
      <c r="S57" s="44"/>
      <c r="T57" s="78">
        <f>IF(CB57=0,0,($BC57*(1+$BD$7)^5/$BD57*CB57))</f>
        <v>0</v>
      </c>
      <c r="V57" s="78">
        <f>IF(CF57=0,0,($BC57*(1+$BD$7)^6/$BD57*CF57))</f>
        <v>0</v>
      </c>
      <c r="W57" s="44"/>
      <c r="X57" s="78">
        <f t="shared" si="2"/>
        <v>0</v>
      </c>
      <c r="Y57" s="44"/>
      <c r="Z57" s="78">
        <f t="shared" si="3"/>
        <v>0</v>
      </c>
      <c r="AA57" s="44"/>
      <c r="AB57" s="78">
        <f t="shared" si="4"/>
        <v>0</v>
      </c>
      <c r="AC57" s="78"/>
      <c r="AD57" s="78">
        <f>J57+L57+N57+P57+R57+T57+V57+X57+Z57+AB57</f>
        <v>0</v>
      </c>
      <c r="AE57" s="78"/>
      <c r="AF57" s="327">
        <f t="shared" si="0"/>
        <v>0</v>
      </c>
      <c r="AH57" s="327">
        <f t="shared" si="1"/>
        <v>0</v>
      </c>
      <c r="AI57" s="44"/>
      <c r="AJ57" s="327">
        <f t="shared" si="5"/>
        <v>0</v>
      </c>
      <c r="AK57" s="44"/>
      <c r="AL57" s="327">
        <f t="shared" si="6"/>
        <v>0</v>
      </c>
      <c r="AM57" s="44"/>
      <c r="AN57" s="327">
        <f t="shared" si="7"/>
        <v>0</v>
      </c>
      <c r="AO57" s="44"/>
      <c r="AP57" s="327">
        <f t="shared" si="8"/>
        <v>0</v>
      </c>
      <c r="AR57" s="327">
        <f t="shared" si="9"/>
        <v>0</v>
      </c>
      <c r="AS57" s="44"/>
      <c r="AT57" s="327">
        <f t="shared" si="10"/>
        <v>0</v>
      </c>
      <c r="AU57" s="44"/>
      <c r="AV57" s="327">
        <f t="shared" si="11"/>
        <v>0</v>
      </c>
      <c r="AW57" s="44"/>
      <c r="AX57" s="327">
        <f t="shared" si="12"/>
        <v>0</v>
      </c>
      <c r="AY57" s="78"/>
      <c r="AZ57" s="327">
        <f>AF57+AH57+AJ57+AL57+AN57+AP57+AR57+AT57+AV57+AX57</f>
        <v>0</v>
      </c>
      <c r="BC57" s="114"/>
      <c r="BD57" s="115">
        <v>9</v>
      </c>
      <c r="BE57" s="120" t="s">
        <v>86</v>
      </c>
      <c r="BF57" s="117">
        <v>0.5</v>
      </c>
      <c r="BG57" s="118">
        <v>9</v>
      </c>
      <c r="BH57" s="80">
        <f>BF57*BG57</f>
        <v>4.5</v>
      </c>
      <c r="BI57" s="54"/>
      <c r="BJ57" s="117">
        <f>IF($BD$15=1,0,BF57)</f>
        <v>0.5</v>
      </c>
      <c r="BK57" s="118">
        <f>IF($BD$15=1,0,BG57)</f>
        <v>9</v>
      </c>
      <c r="BL57" s="80">
        <f>BJ57*BK57</f>
        <v>4.5</v>
      </c>
      <c r="BM57" s="54"/>
      <c r="BN57" s="117">
        <f>IF($BD$15=2,0,BJ57)</f>
        <v>0.5</v>
      </c>
      <c r="BO57" s="118">
        <f>IF($BD$15=2,0,BK57)</f>
        <v>9</v>
      </c>
      <c r="BP57" s="80">
        <f>BN57*BO57</f>
        <v>4.5</v>
      </c>
      <c r="BQ57" s="54"/>
      <c r="BR57" s="117">
        <f>IF($BD$15=3,0,BN57)</f>
        <v>0.5</v>
      </c>
      <c r="BS57" s="118">
        <f>IF($BD$15=3,0,BO57)</f>
        <v>9</v>
      </c>
      <c r="BT57" s="80">
        <f>BR57*BS57</f>
        <v>4.5</v>
      </c>
      <c r="BU57" s="54"/>
      <c r="BV57" s="117">
        <f>IF($BD$15=4,0,BR57)</f>
        <v>0.5</v>
      </c>
      <c r="BW57" s="118">
        <f>IF($BD$15=4,0,BS57)</f>
        <v>9</v>
      </c>
      <c r="BX57" s="80">
        <f>BV57*BW57</f>
        <v>4.5</v>
      </c>
      <c r="BY57" s="119"/>
      <c r="BZ57" s="117">
        <f t="shared" si="23"/>
        <v>0</v>
      </c>
      <c r="CA57" s="118">
        <f t="shared" si="13"/>
        <v>0</v>
      </c>
      <c r="CB57" s="80">
        <f>BZ57*CA57</f>
        <v>0</v>
      </c>
      <c r="CC57" s="54"/>
      <c r="CD57" s="117">
        <f t="shared" si="14"/>
        <v>0</v>
      </c>
      <c r="CE57" s="118">
        <f t="shared" si="15"/>
        <v>0</v>
      </c>
      <c r="CF57" s="80">
        <f>CD57*CE57</f>
        <v>0</v>
      </c>
      <c r="CG57" s="54"/>
      <c r="CH57" s="117">
        <f t="shared" si="16"/>
        <v>0</v>
      </c>
      <c r="CI57" s="118">
        <f t="shared" si="17"/>
        <v>0</v>
      </c>
      <c r="CJ57" s="80">
        <f>CH57*CI57</f>
        <v>0</v>
      </c>
      <c r="CK57" s="54"/>
      <c r="CL57" s="117">
        <f t="shared" si="18"/>
        <v>0</v>
      </c>
      <c r="CM57" s="118">
        <f t="shared" si="19"/>
        <v>0</v>
      </c>
      <c r="CN57" s="80">
        <f>CL57*CM57</f>
        <v>0</v>
      </c>
      <c r="CO57" s="54"/>
      <c r="CP57" s="117">
        <f t="shared" si="20"/>
        <v>0</v>
      </c>
      <c r="CQ57" s="118">
        <f t="shared" si="21"/>
        <v>0</v>
      </c>
      <c r="CR57" s="80">
        <f>CP57*CQ57</f>
        <v>0</v>
      </c>
      <c r="CS57" s="119">
        <f t="shared" si="22"/>
        <v>22.5</v>
      </c>
    </row>
    <row r="58" spans="1:97" ht="16.5" customHeight="1" x14ac:dyDescent="0.25">
      <c r="A58" s="36" t="s">
        <v>52</v>
      </c>
      <c r="B58" s="10"/>
      <c r="D58" s="57" t="str">
        <f>((BF58*100)&amp;"%"&amp;" time, "&amp;BG58&amp;" months, "&amp;BE58)</f>
        <v>100% time, 3 months, Summer</v>
      </c>
      <c r="E58" s="57"/>
      <c r="H58" s="58"/>
      <c r="I58" s="9"/>
      <c r="J58" s="78">
        <f>IF(BH58=0,0,($BC58/$BD58*BH58))</f>
        <v>0</v>
      </c>
      <c r="L58" s="78">
        <f>IF(BL58=0,0,($BC58*(1+$BD$7)/$BD58*BL58))</f>
        <v>0</v>
      </c>
      <c r="M58" s="44"/>
      <c r="N58" s="78">
        <f>IF(BP58=0,0,($BC58*(1+$BD$7)^2/$BD58*BP58))</f>
        <v>0</v>
      </c>
      <c r="O58" s="44"/>
      <c r="P58" s="78">
        <f>IF(BT58=0,0,($BC58*(1+$BD$7)^3/$BD58*BT58))</f>
        <v>0</v>
      </c>
      <c r="Q58" s="44"/>
      <c r="R58" s="78">
        <f>IF(BX58=0,0,($BC58*(1+$BD$7)^4/$BD58*BX58))</f>
        <v>0</v>
      </c>
      <c r="S58" s="44"/>
      <c r="T58" s="78">
        <f>IF(CB58=0,0,($BC58*(1+$BD$7)^5/$BD58*CB58))</f>
        <v>0</v>
      </c>
      <c r="V58" s="78">
        <f>IF(CF58=0,0,($BC58*(1+$BD$7)^6/$BD58*CF58))</f>
        <v>0</v>
      </c>
      <c r="W58" s="44"/>
      <c r="X58" s="78">
        <f t="shared" si="2"/>
        <v>0</v>
      </c>
      <c r="Y58" s="44"/>
      <c r="Z58" s="78">
        <f t="shared" si="3"/>
        <v>0</v>
      </c>
      <c r="AA58" s="44"/>
      <c r="AB58" s="78">
        <f t="shared" si="4"/>
        <v>0</v>
      </c>
      <c r="AC58" s="78"/>
      <c r="AD58" s="78">
        <f>J58+L58+N58+P58+R58+T58+V58+X58+Z58+AB58</f>
        <v>0</v>
      </c>
      <c r="AE58" s="78"/>
      <c r="AF58" s="327">
        <f t="shared" si="0"/>
        <v>0</v>
      </c>
      <c r="AH58" s="327">
        <f t="shared" si="1"/>
        <v>0</v>
      </c>
      <c r="AI58" s="44"/>
      <c r="AJ58" s="327">
        <f t="shared" si="5"/>
        <v>0</v>
      </c>
      <c r="AK58" s="44"/>
      <c r="AL58" s="327">
        <f t="shared" si="6"/>
        <v>0</v>
      </c>
      <c r="AM58" s="44"/>
      <c r="AN58" s="327">
        <f t="shared" si="7"/>
        <v>0</v>
      </c>
      <c r="AO58" s="44"/>
      <c r="AP58" s="327">
        <f t="shared" si="8"/>
        <v>0</v>
      </c>
      <c r="AR58" s="327">
        <f t="shared" si="9"/>
        <v>0</v>
      </c>
      <c r="AS58" s="44"/>
      <c r="AT58" s="327">
        <f t="shared" si="10"/>
        <v>0</v>
      </c>
      <c r="AU58" s="44"/>
      <c r="AV58" s="327">
        <f t="shared" si="11"/>
        <v>0</v>
      </c>
      <c r="AW58" s="44"/>
      <c r="AX58" s="327">
        <f t="shared" si="12"/>
        <v>0</v>
      </c>
      <c r="AY58" s="78"/>
      <c r="AZ58" s="327">
        <f>AF58+AH58+AJ58+AL58+AN58+AP58+AR58+AT58+AV58+AX58</f>
        <v>0</v>
      </c>
      <c r="BA58" s="44"/>
      <c r="BC58" s="114"/>
      <c r="BD58" s="115">
        <v>3</v>
      </c>
      <c r="BE58" s="120" t="s">
        <v>87</v>
      </c>
      <c r="BF58" s="117">
        <v>1</v>
      </c>
      <c r="BG58" s="118">
        <v>3</v>
      </c>
      <c r="BH58" s="80">
        <f>BF58*BG58</f>
        <v>3</v>
      </c>
      <c r="BI58" s="54"/>
      <c r="BJ58" s="117">
        <f>IF($BD$15=1,0,BF58)</f>
        <v>1</v>
      </c>
      <c r="BK58" s="118">
        <f>IF($BD$15=1,0,BG58)</f>
        <v>3</v>
      </c>
      <c r="BL58" s="80">
        <f>BJ58*BK58</f>
        <v>3</v>
      </c>
      <c r="BM58" s="54"/>
      <c r="BN58" s="117">
        <f>IF($BD$15=2,0,BJ58)</f>
        <v>1</v>
      </c>
      <c r="BO58" s="118">
        <f>IF($BD$15=2,0,BK58)</f>
        <v>3</v>
      </c>
      <c r="BP58" s="80">
        <f>BN58*BO58</f>
        <v>3</v>
      </c>
      <c r="BQ58" s="54"/>
      <c r="BR58" s="117">
        <f>IF($BD$15=3,0,BN58)</f>
        <v>1</v>
      </c>
      <c r="BS58" s="118">
        <f>IF($BD$15=3,0,BO58)</f>
        <v>3</v>
      </c>
      <c r="BT58" s="80">
        <f>BR58*BS58</f>
        <v>3</v>
      </c>
      <c r="BU58" s="54"/>
      <c r="BV58" s="117">
        <f>IF($BD$15=4,0,BR58)</f>
        <v>1</v>
      </c>
      <c r="BW58" s="118">
        <f>IF($BD$15=4,0,BS58)</f>
        <v>3</v>
      </c>
      <c r="BX58" s="80">
        <f>BV58*BW58</f>
        <v>3</v>
      </c>
      <c r="BY58" s="119"/>
      <c r="BZ58" s="117">
        <f t="shared" si="23"/>
        <v>0</v>
      </c>
      <c r="CA58" s="118">
        <f t="shared" si="13"/>
        <v>0</v>
      </c>
      <c r="CB58" s="80">
        <f>BZ58*CA58</f>
        <v>0</v>
      </c>
      <c r="CC58" s="54"/>
      <c r="CD58" s="117">
        <f t="shared" si="14"/>
        <v>0</v>
      </c>
      <c r="CE58" s="118">
        <f t="shared" si="15"/>
        <v>0</v>
      </c>
      <c r="CF58" s="80">
        <f>CD58*CE58</f>
        <v>0</v>
      </c>
      <c r="CG58" s="54"/>
      <c r="CH58" s="117">
        <f t="shared" si="16"/>
        <v>0</v>
      </c>
      <c r="CI58" s="118">
        <f t="shared" si="17"/>
        <v>0</v>
      </c>
      <c r="CJ58" s="80">
        <f>CH58*CI58</f>
        <v>0</v>
      </c>
      <c r="CK58" s="54"/>
      <c r="CL58" s="117">
        <f t="shared" si="18"/>
        <v>0</v>
      </c>
      <c r="CM58" s="118">
        <f t="shared" si="19"/>
        <v>0</v>
      </c>
      <c r="CN58" s="80">
        <f>CL58*CM58</f>
        <v>0</v>
      </c>
      <c r="CO58" s="54"/>
      <c r="CP58" s="117">
        <f t="shared" si="20"/>
        <v>0</v>
      </c>
      <c r="CQ58" s="118">
        <f t="shared" si="21"/>
        <v>0</v>
      </c>
      <c r="CR58" s="80">
        <f>CP58*CQ58</f>
        <v>0</v>
      </c>
      <c r="CS58" s="119">
        <f t="shared" si="22"/>
        <v>15</v>
      </c>
    </row>
    <row r="59" spans="1:97" ht="16.5" customHeight="1" x14ac:dyDescent="0.25">
      <c r="A59" s="36"/>
      <c r="B59" s="10"/>
      <c r="C59" s="77" t="s">
        <v>53</v>
      </c>
      <c r="H59" s="58"/>
      <c r="I59" s="9"/>
      <c r="M59" s="44"/>
      <c r="N59" s="78"/>
      <c r="O59" s="44"/>
      <c r="P59" s="78"/>
      <c r="Q59" s="44"/>
      <c r="R59" s="78"/>
      <c r="S59" s="44"/>
      <c r="W59" s="44"/>
      <c r="X59" s="78"/>
      <c r="Y59" s="44"/>
      <c r="Z59" s="78"/>
      <c r="AA59" s="44"/>
      <c r="AB59" s="78"/>
      <c r="AC59" s="78"/>
      <c r="AD59" s="78"/>
      <c r="AE59" s="78"/>
      <c r="AI59" s="44"/>
      <c r="AJ59" s="327"/>
      <c r="AK59" s="44"/>
      <c r="AL59" s="327"/>
      <c r="AM59" s="44"/>
      <c r="AN59" s="327"/>
      <c r="AO59" s="44"/>
      <c r="AS59" s="44"/>
      <c r="AT59" s="327"/>
      <c r="AU59" s="44"/>
      <c r="AV59" s="327"/>
      <c r="AW59" s="44"/>
      <c r="AX59" s="327"/>
      <c r="AY59" s="78"/>
      <c r="AZ59" s="327"/>
      <c r="BC59" s="114"/>
      <c r="BD59" s="115"/>
      <c r="BE59" s="120"/>
      <c r="BF59" s="117"/>
      <c r="BG59" s="118"/>
      <c r="BH59" s="80"/>
      <c r="BI59" s="54"/>
      <c r="BJ59" s="117"/>
      <c r="BK59" s="118"/>
      <c r="BL59" s="80"/>
      <c r="BM59" s="54"/>
      <c r="BN59" s="117"/>
      <c r="BO59" s="118"/>
      <c r="BP59" s="80"/>
      <c r="BQ59" s="54"/>
      <c r="BR59" s="117"/>
      <c r="BS59" s="118"/>
      <c r="BT59" s="80"/>
      <c r="BU59" s="54"/>
      <c r="BV59" s="117"/>
      <c r="BW59" s="118"/>
      <c r="BX59" s="80"/>
      <c r="BY59" s="119"/>
      <c r="BZ59" s="117"/>
      <c r="CA59" s="118"/>
      <c r="CB59" s="80"/>
      <c r="CC59" s="54"/>
      <c r="CD59" s="117"/>
      <c r="CE59" s="118"/>
      <c r="CF59" s="80"/>
      <c r="CG59" s="54"/>
      <c r="CH59" s="117"/>
      <c r="CI59" s="118"/>
      <c r="CJ59" s="80"/>
      <c r="CK59" s="54"/>
      <c r="CL59" s="117"/>
      <c r="CM59" s="118"/>
      <c r="CN59" s="80"/>
      <c r="CO59" s="54"/>
      <c r="CP59" s="117"/>
      <c r="CQ59" s="118"/>
      <c r="CR59" s="80"/>
      <c r="CS59" s="119"/>
    </row>
    <row r="60" spans="1:97" ht="17.25" customHeight="1" x14ac:dyDescent="0.25">
      <c r="A60" s="36" t="s">
        <v>239</v>
      </c>
      <c r="B60" s="10"/>
      <c r="D60" s="57" t="s">
        <v>67</v>
      </c>
      <c r="E60" s="57"/>
      <c r="H60" s="58"/>
      <c r="I60" s="9"/>
      <c r="J60" s="78">
        <v>0</v>
      </c>
      <c r="L60" s="78">
        <v>0</v>
      </c>
      <c r="M60" s="44"/>
      <c r="N60" s="78">
        <v>0</v>
      </c>
      <c r="O60" s="44"/>
      <c r="P60" s="78">
        <v>0</v>
      </c>
      <c r="Q60" s="44"/>
      <c r="R60" s="78">
        <v>0</v>
      </c>
      <c r="S60" s="44"/>
      <c r="T60" s="78">
        <f>IF(CB60=0,0,($BC60*(1+$BD$7)^5/$BD60*CB60))</f>
        <v>0</v>
      </c>
      <c r="V60" s="78">
        <f>IF(CF60=0,0,($BC60*(1+$BD$7)^6/$BD60*CF60))</f>
        <v>0</v>
      </c>
      <c r="W60" s="44"/>
      <c r="X60" s="78">
        <f t="shared" si="2"/>
        <v>0</v>
      </c>
      <c r="Y60" s="44"/>
      <c r="Z60" s="78">
        <f t="shared" si="3"/>
        <v>0</v>
      </c>
      <c r="AA60" s="44"/>
      <c r="AB60" s="78">
        <f t="shared" si="4"/>
        <v>0</v>
      </c>
      <c r="AC60" s="78"/>
      <c r="AD60" s="78">
        <f>J60+L60+N60+P60+R60+T60+V60+X60+Z60+AB60</f>
        <v>0</v>
      </c>
      <c r="AE60" s="78"/>
      <c r="AF60" s="327">
        <f>IF(BH60=0,0,($BC60/$BD60*BH60))*0</f>
        <v>0</v>
      </c>
      <c r="AH60" s="327">
        <f t="shared" si="1"/>
        <v>0</v>
      </c>
      <c r="AI60" s="44"/>
      <c r="AJ60" s="327">
        <f t="shared" si="5"/>
        <v>0</v>
      </c>
      <c r="AK60" s="44"/>
      <c r="AL60" s="327">
        <f t="shared" si="6"/>
        <v>0</v>
      </c>
      <c r="AM60" s="44"/>
      <c r="AN60" s="327">
        <f t="shared" si="7"/>
        <v>0</v>
      </c>
      <c r="AO60" s="44"/>
      <c r="AP60" s="327">
        <f t="shared" si="8"/>
        <v>0</v>
      </c>
      <c r="AR60" s="327">
        <f t="shared" si="9"/>
        <v>0</v>
      </c>
      <c r="AS60" s="44"/>
      <c r="AT60" s="327">
        <f t="shared" si="10"/>
        <v>0</v>
      </c>
      <c r="AU60" s="44"/>
      <c r="AV60" s="327">
        <f t="shared" si="11"/>
        <v>0</v>
      </c>
      <c r="AW60" s="44"/>
      <c r="AX60" s="327">
        <f t="shared" si="12"/>
        <v>0</v>
      </c>
      <c r="AY60" s="78"/>
      <c r="AZ60" s="327">
        <f>AF60+AH60+AJ60+AL60+AN60+AP60+AR60+AT60+AV60+AX60</f>
        <v>0</v>
      </c>
      <c r="BC60" s="114"/>
      <c r="BD60" s="115"/>
      <c r="BE60" s="120"/>
      <c r="BF60" s="117">
        <v>0</v>
      </c>
      <c r="BG60" s="118">
        <v>0</v>
      </c>
      <c r="BH60" s="80">
        <f>BF60*BG60</f>
        <v>0</v>
      </c>
      <c r="BI60" s="54"/>
      <c r="BJ60" s="117">
        <f>IF($BD$15=1,0,BF60)</f>
        <v>0</v>
      </c>
      <c r="BK60" s="118">
        <f>IF($BD$15=1,0,BG60)</f>
        <v>0</v>
      </c>
      <c r="BL60" s="80">
        <f>BJ60*BK60</f>
        <v>0</v>
      </c>
      <c r="BM60" s="54"/>
      <c r="BN60" s="117">
        <f>IF($BD$15=2,0,BJ60)</f>
        <v>0</v>
      </c>
      <c r="BO60" s="118">
        <f>IF($BD$15=2,0,BK60)</f>
        <v>0</v>
      </c>
      <c r="BP60" s="80">
        <f>BN60*BO60</f>
        <v>0</v>
      </c>
      <c r="BQ60" s="54"/>
      <c r="BR60" s="117">
        <f>IF($BD$15=3,0,BN60)</f>
        <v>0</v>
      </c>
      <c r="BS60" s="118">
        <f>IF($BD$15=3,0,BO60)</f>
        <v>0</v>
      </c>
      <c r="BT60" s="80">
        <f>BR60*BS60</f>
        <v>0</v>
      </c>
      <c r="BU60" s="54"/>
      <c r="BV60" s="117">
        <f>IF($BD$15=4,0,BR60)</f>
        <v>0</v>
      </c>
      <c r="BW60" s="118">
        <f>IF($BD$15=4,0,BS60)</f>
        <v>0</v>
      </c>
      <c r="BX60" s="80">
        <f>BV60*BW60</f>
        <v>0</v>
      </c>
      <c r="BY60" s="119"/>
      <c r="BZ60" s="117">
        <f t="shared" si="23"/>
        <v>0</v>
      </c>
      <c r="CA60" s="118">
        <f t="shared" si="13"/>
        <v>0</v>
      </c>
      <c r="CB60" s="80">
        <f>BZ60*CA60</f>
        <v>0</v>
      </c>
      <c r="CC60" s="54"/>
      <c r="CD60" s="117">
        <f t="shared" si="14"/>
        <v>0</v>
      </c>
      <c r="CE60" s="118">
        <f t="shared" si="15"/>
        <v>0</v>
      </c>
      <c r="CF60" s="80">
        <f>CD60*CE60</f>
        <v>0</v>
      </c>
      <c r="CG60" s="54"/>
      <c r="CH60" s="117">
        <f t="shared" si="16"/>
        <v>0</v>
      </c>
      <c r="CI60" s="118">
        <f t="shared" si="17"/>
        <v>0</v>
      </c>
      <c r="CJ60" s="80">
        <f>CH60*CI60</f>
        <v>0</v>
      </c>
      <c r="CK60" s="54"/>
      <c r="CL60" s="117">
        <f t="shared" si="18"/>
        <v>0</v>
      </c>
      <c r="CM60" s="118">
        <f t="shared" si="19"/>
        <v>0</v>
      </c>
      <c r="CN60" s="80">
        <f>CL60*CM60</f>
        <v>0</v>
      </c>
      <c r="CO60" s="54"/>
      <c r="CP60" s="117">
        <f t="shared" si="20"/>
        <v>0</v>
      </c>
      <c r="CQ60" s="118">
        <f t="shared" si="21"/>
        <v>0</v>
      </c>
      <c r="CR60" s="80">
        <f>CP60*CQ60</f>
        <v>0</v>
      </c>
      <c r="CS60" s="119">
        <f t="shared" si="22"/>
        <v>0</v>
      </c>
    </row>
    <row r="61" spans="1:97" ht="17.25" customHeight="1" x14ac:dyDescent="0.25">
      <c r="A61" s="36"/>
      <c r="B61" s="10"/>
      <c r="C61" s="77" t="s">
        <v>53</v>
      </c>
      <c r="H61" s="58"/>
      <c r="I61" s="9"/>
      <c r="M61" s="44"/>
      <c r="N61" s="78"/>
      <c r="O61" s="44"/>
      <c r="P61" s="78"/>
      <c r="Q61" s="44"/>
      <c r="R61" s="78"/>
      <c r="S61" s="44"/>
      <c r="W61" s="44"/>
      <c r="X61" s="78"/>
      <c r="Y61" s="44"/>
      <c r="Z61" s="78"/>
      <c r="AA61" s="44"/>
      <c r="AB61" s="78"/>
      <c r="AC61" s="78"/>
      <c r="AD61" s="78"/>
      <c r="AE61" s="78"/>
      <c r="AI61" s="44"/>
      <c r="AJ61" s="327"/>
      <c r="AK61" s="44"/>
      <c r="AL61" s="327"/>
      <c r="AM61" s="44"/>
      <c r="AN61" s="327"/>
      <c r="AO61" s="44"/>
      <c r="AS61" s="44"/>
      <c r="AT61" s="327"/>
      <c r="AU61" s="44"/>
      <c r="AV61" s="327"/>
      <c r="AW61" s="44"/>
      <c r="AX61" s="327"/>
      <c r="AY61" s="78"/>
      <c r="AZ61" s="327"/>
      <c r="BC61" s="114"/>
      <c r="BD61" s="115"/>
      <c r="BE61" s="120"/>
      <c r="BF61" s="117"/>
      <c r="BG61" s="118"/>
      <c r="BH61" s="80"/>
      <c r="BI61" s="54"/>
      <c r="BJ61" s="117"/>
      <c r="BK61" s="118"/>
      <c r="BL61" s="80"/>
      <c r="BM61" s="54"/>
      <c r="BN61" s="117"/>
      <c r="BO61" s="118"/>
      <c r="BP61" s="80"/>
      <c r="BQ61" s="54"/>
      <c r="BR61" s="117"/>
      <c r="BS61" s="118"/>
      <c r="BT61" s="80"/>
      <c r="BU61" s="54"/>
      <c r="BV61" s="117"/>
      <c r="BW61" s="118"/>
      <c r="BX61" s="80"/>
      <c r="BY61" s="119"/>
      <c r="BZ61" s="117"/>
      <c r="CA61" s="118"/>
      <c r="CB61" s="80"/>
      <c r="CC61" s="54"/>
      <c r="CD61" s="117"/>
      <c r="CE61" s="118"/>
      <c r="CF61" s="80"/>
      <c r="CG61" s="54"/>
      <c r="CH61" s="117"/>
      <c r="CI61" s="118"/>
      <c r="CJ61" s="80"/>
      <c r="CK61" s="54"/>
      <c r="CL61" s="117"/>
      <c r="CM61" s="118"/>
      <c r="CN61" s="80"/>
      <c r="CO61" s="54"/>
      <c r="CP61" s="117"/>
      <c r="CQ61" s="118"/>
      <c r="CR61" s="80"/>
      <c r="CS61" s="119"/>
    </row>
    <row r="62" spans="1:97" ht="17.25" customHeight="1" x14ac:dyDescent="0.25">
      <c r="A62" s="36" t="s">
        <v>239</v>
      </c>
      <c r="B62" s="10"/>
      <c r="D62" s="57" t="s">
        <v>67</v>
      </c>
      <c r="E62" s="57"/>
      <c r="H62" s="58"/>
      <c r="I62" s="9"/>
      <c r="J62" s="78">
        <v>0</v>
      </c>
      <c r="L62" s="78">
        <v>0</v>
      </c>
      <c r="M62" s="44"/>
      <c r="N62" s="78">
        <v>0</v>
      </c>
      <c r="O62" s="44"/>
      <c r="P62" s="78">
        <v>0</v>
      </c>
      <c r="Q62" s="44"/>
      <c r="R62" s="78">
        <v>0</v>
      </c>
      <c r="S62" s="44"/>
      <c r="T62" s="78">
        <f>IF(CB62=0,0,($BC62*(1+$BD$7)^5/$BD62*CB62))</f>
        <v>0</v>
      </c>
      <c r="V62" s="78">
        <f>IF(CF62=0,0,($BC62*(1+$BD$7)^6/$BD62*CF62))</f>
        <v>0</v>
      </c>
      <c r="W62" s="44"/>
      <c r="X62" s="78">
        <f t="shared" si="2"/>
        <v>0</v>
      </c>
      <c r="Y62" s="44"/>
      <c r="Z62" s="78">
        <f t="shared" si="3"/>
        <v>0</v>
      </c>
      <c r="AA62" s="44"/>
      <c r="AB62" s="78">
        <f t="shared" si="4"/>
        <v>0</v>
      </c>
      <c r="AC62" s="78"/>
      <c r="AD62" s="78">
        <f>J62+L62+N62+P62+R62+T62+V62+X62+Z62+AB62</f>
        <v>0</v>
      </c>
      <c r="AE62" s="78"/>
      <c r="AF62" s="327">
        <f t="shared" si="0"/>
        <v>0</v>
      </c>
      <c r="AH62" s="327">
        <f t="shared" si="1"/>
        <v>0</v>
      </c>
      <c r="AI62" s="44"/>
      <c r="AJ62" s="327">
        <f t="shared" si="5"/>
        <v>0</v>
      </c>
      <c r="AK62" s="44"/>
      <c r="AL62" s="327">
        <f t="shared" si="6"/>
        <v>0</v>
      </c>
      <c r="AM62" s="44"/>
      <c r="AN62" s="327">
        <f t="shared" si="7"/>
        <v>0</v>
      </c>
      <c r="AO62" s="44"/>
      <c r="AP62" s="327">
        <f t="shared" si="8"/>
        <v>0</v>
      </c>
      <c r="AR62" s="327">
        <f t="shared" si="9"/>
        <v>0</v>
      </c>
      <c r="AS62" s="44"/>
      <c r="AT62" s="327">
        <f t="shared" si="10"/>
        <v>0</v>
      </c>
      <c r="AU62" s="44"/>
      <c r="AV62" s="327">
        <f t="shared" si="11"/>
        <v>0</v>
      </c>
      <c r="AW62" s="44"/>
      <c r="AX62" s="327">
        <f t="shared" si="12"/>
        <v>0</v>
      </c>
      <c r="AY62" s="78"/>
      <c r="AZ62" s="327">
        <f>AF62+AH62+AJ62+AL62+AN62+AP62+AR62+AT62+AV62+AX62</f>
        <v>0</v>
      </c>
      <c r="BC62" s="114"/>
      <c r="BD62" s="115"/>
      <c r="BE62" s="120"/>
      <c r="BF62" s="117">
        <v>0</v>
      </c>
      <c r="BG62" s="118">
        <v>0</v>
      </c>
      <c r="BH62" s="80">
        <f>BF62*BG62</f>
        <v>0</v>
      </c>
      <c r="BI62" s="54"/>
      <c r="BJ62" s="117">
        <f>IF($BD$15=1,0,BF62)</f>
        <v>0</v>
      </c>
      <c r="BK62" s="118">
        <f>IF($BD$15=1,0,BG62)</f>
        <v>0</v>
      </c>
      <c r="BL62" s="80">
        <f>BJ62*BK62</f>
        <v>0</v>
      </c>
      <c r="BM62" s="54"/>
      <c r="BN62" s="117">
        <f>IF($BD$15=2,0,BJ62)</f>
        <v>0</v>
      </c>
      <c r="BO62" s="118">
        <f>IF($BD$15=2,0,BK62)</f>
        <v>0</v>
      </c>
      <c r="BP62" s="80">
        <f>BN62*BO62</f>
        <v>0</v>
      </c>
      <c r="BQ62" s="54"/>
      <c r="BR62" s="117">
        <f>IF($BD$15=3,0,BN62)</f>
        <v>0</v>
      </c>
      <c r="BS62" s="118">
        <f>IF($BD$15=3,0,BO62)</f>
        <v>0</v>
      </c>
      <c r="BT62" s="80">
        <f>BR62*BS62</f>
        <v>0</v>
      </c>
      <c r="BU62" s="54"/>
      <c r="BV62" s="117">
        <f>IF($BD$15=4,0,BR62)</f>
        <v>0</v>
      </c>
      <c r="BW62" s="118">
        <f>IF($BD$15=4,0,BS62)</f>
        <v>0</v>
      </c>
      <c r="BX62" s="80">
        <f>BV62*BW62</f>
        <v>0</v>
      </c>
      <c r="BY62" s="119"/>
      <c r="BZ62" s="117">
        <f t="shared" si="23"/>
        <v>0</v>
      </c>
      <c r="CA62" s="118">
        <f t="shared" si="13"/>
        <v>0</v>
      </c>
      <c r="CB62" s="80">
        <f>BZ62*CA62</f>
        <v>0</v>
      </c>
      <c r="CC62" s="54"/>
      <c r="CD62" s="117">
        <f t="shared" si="14"/>
        <v>0</v>
      </c>
      <c r="CE62" s="118">
        <f t="shared" si="15"/>
        <v>0</v>
      </c>
      <c r="CF62" s="80">
        <f>CD62*CE62</f>
        <v>0</v>
      </c>
      <c r="CG62" s="54"/>
      <c r="CH62" s="117">
        <f t="shared" si="16"/>
        <v>0</v>
      </c>
      <c r="CI62" s="118">
        <f t="shared" si="17"/>
        <v>0</v>
      </c>
      <c r="CJ62" s="80">
        <f>CH62*CI62</f>
        <v>0</v>
      </c>
      <c r="CK62" s="54"/>
      <c r="CL62" s="117">
        <f t="shared" si="18"/>
        <v>0</v>
      </c>
      <c r="CM62" s="118">
        <f t="shared" si="19"/>
        <v>0</v>
      </c>
      <c r="CN62" s="80">
        <f>CL62*CM62</f>
        <v>0</v>
      </c>
      <c r="CO62" s="54"/>
      <c r="CP62" s="117">
        <f t="shared" si="20"/>
        <v>0</v>
      </c>
      <c r="CQ62" s="118">
        <f t="shared" si="21"/>
        <v>0</v>
      </c>
      <c r="CR62" s="80">
        <f>CP62*CQ62</f>
        <v>0</v>
      </c>
      <c r="CS62" s="119">
        <f t="shared" si="22"/>
        <v>0</v>
      </c>
    </row>
    <row r="63" spans="1:97" ht="17.25" customHeight="1" x14ac:dyDescent="0.25">
      <c r="A63" s="36"/>
      <c r="B63" s="10"/>
      <c r="C63" s="77" t="s">
        <v>53</v>
      </c>
      <c r="H63" s="58"/>
      <c r="I63" s="9"/>
      <c r="M63" s="44"/>
      <c r="N63" s="78"/>
      <c r="O63" s="44"/>
      <c r="P63" s="78"/>
      <c r="Q63" s="44"/>
      <c r="R63" s="78"/>
      <c r="S63" s="44"/>
      <c r="W63" s="44"/>
      <c r="X63" s="78"/>
      <c r="Y63" s="44"/>
      <c r="Z63" s="78"/>
      <c r="AA63" s="44"/>
      <c r="AB63" s="78"/>
      <c r="AC63" s="78"/>
      <c r="AD63" s="78"/>
      <c r="AE63" s="78"/>
      <c r="AI63" s="44"/>
      <c r="AJ63" s="327"/>
      <c r="AK63" s="44"/>
      <c r="AL63" s="327"/>
      <c r="AM63" s="44"/>
      <c r="AN63" s="327"/>
      <c r="AO63" s="44"/>
      <c r="AS63" s="44"/>
      <c r="AT63" s="327"/>
      <c r="AU63" s="44"/>
      <c r="AV63" s="327"/>
      <c r="AW63" s="44"/>
      <c r="AX63" s="327"/>
      <c r="AY63" s="78"/>
      <c r="AZ63" s="327"/>
      <c r="BC63" s="114"/>
      <c r="BD63" s="115"/>
      <c r="BE63" s="120"/>
      <c r="BF63" s="117"/>
      <c r="BG63" s="118"/>
      <c r="BH63" s="80"/>
      <c r="BI63" s="54"/>
      <c r="BJ63" s="117"/>
      <c r="BK63" s="118"/>
      <c r="BL63" s="80"/>
      <c r="BM63" s="54"/>
      <c r="BN63" s="117"/>
      <c r="BO63" s="118"/>
      <c r="BP63" s="80"/>
      <c r="BQ63" s="54"/>
      <c r="BR63" s="117"/>
      <c r="BS63" s="118"/>
      <c r="BT63" s="80"/>
      <c r="BU63" s="54"/>
      <c r="BV63" s="117"/>
      <c r="BW63" s="118"/>
      <c r="BX63" s="80"/>
      <c r="BY63" s="119"/>
      <c r="BZ63" s="117"/>
      <c r="CA63" s="118"/>
      <c r="CB63" s="80"/>
      <c r="CC63" s="54"/>
      <c r="CD63" s="117"/>
      <c r="CE63" s="118"/>
      <c r="CF63" s="80"/>
      <c r="CG63" s="54"/>
      <c r="CH63" s="117"/>
      <c r="CI63" s="118"/>
      <c r="CJ63" s="80"/>
      <c r="CK63" s="54"/>
      <c r="CL63" s="117"/>
      <c r="CM63" s="118"/>
      <c r="CN63" s="80"/>
      <c r="CO63" s="54"/>
      <c r="CP63" s="117"/>
      <c r="CQ63" s="118"/>
      <c r="CR63" s="80"/>
      <c r="CS63" s="119"/>
    </row>
    <row r="64" spans="1:97" ht="17.25" customHeight="1" x14ac:dyDescent="0.25">
      <c r="A64" s="36" t="s">
        <v>239</v>
      </c>
      <c r="B64" s="10"/>
      <c r="D64" s="57" t="s">
        <v>67</v>
      </c>
      <c r="E64" s="57"/>
      <c r="H64" s="58"/>
      <c r="I64" s="9"/>
      <c r="J64" s="78">
        <v>0</v>
      </c>
      <c r="L64" s="78">
        <v>0</v>
      </c>
      <c r="M64" s="44"/>
      <c r="N64" s="78">
        <v>0</v>
      </c>
      <c r="O64" s="44"/>
      <c r="P64" s="78">
        <v>0</v>
      </c>
      <c r="Q64" s="44"/>
      <c r="R64" s="78">
        <v>0</v>
      </c>
      <c r="S64" s="44"/>
      <c r="T64" s="78">
        <f>IF(CB64=0,0,($BC64*(1+$BD$7)^5/$BD64*CB64))</f>
        <v>0</v>
      </c>
      <c r="V64" s="78">
        <f>IF(CF64=0,0,($BC64*(1+$BD$7)^6/$BD64*CF64))</f>
        <v>0</v>
      </c>
      <c r="W64" s="44"/>
      <c r="X64" s="78">
        <f t="shared" si="2"/>
        <v>0</v>
      </c>
      <c r="Y64" s="44"/>
      <c r="Z64" s="78">
        <f t="shared" si="3"/>
        <v>0</v>
      </c>
      <c r="AA64" s="44"/>
      <c r="AB64" s="78">
        <f t="shared" si="4"/>
        <v>0</v>
      </c>
      <c r="AC64" s="78"/>
      <c r="AD64" s="11">
        <f>J64+L64+N64+P64+R64+T64+V64+X64+Z64+AB64</f>
        <v>0</v>
      </c>
      <c r="AE64" s="78"/>
      <c r="AF64" s="327">
        <f t="shared" si="0"/>
        <v>0</v>
      </c>
      <c r="AH64" s="327">
        <f t="shared" si="1"/>
        <v>0</v>
      </c>
      <c r="AI64" s="44"/>
      <c r="AJ64" s="327">
        <f t="shared" si="5"/>
        <v>0</v>
      </c>
      <c r="AK64" s="44"/>
      <c r="AL64" s="327">
        <f t="shared" si="6"/>
        <v>0</v>
      </c>
      <c r="AM64" s="44"/>
      <c r="AN64" s="327">
        <f t="shared" si="7"/>
        <v>0</v>
      </c>
      <c r="AO64" s="44"/>
      <c r="AP64" s="327">
        <f t="shared" si="8"/>
        <v>0</v>
      </c>
      <c r="AR64" s="327">
        <f t="shared" si="9"/>
        <v>0</v>
      </c>
      <c r="AS64" s="44"/>
      <c r="AT64" s="327">
        <f t="shared" si="10"/>
        <v>0</v>
      </c>
      <c r="AU64" s="44"/>
      <c r="AV64" s="327">
        <f t="shared" si="11"/>
        <v>0</v>
      </c>
      <c r="AW64" s="44"/>
      <c r="AX64" s="327">
        <f t="shared" si="12"/>
        <v>0</v>
      </c>
      <c r="AY64" s="78"/>
      <c r="AZ64" s="338">
        <f>AF64+AH64+AJ64+AL64+AN64+AP64+AR64+AT64+AV64+AX64</f>
        <v>0</v>
      </c>
      <c r="BC64" s="114"/>
      <c r="BD64" s="115"/>
      <c r="BE64" s="120"/>
      <c r="BF64" s="117">
        <v>0</v>
      </c>
      <c r="BG64" s="118">
        <v>0</v>
      </c>
      <c r="BH64" s="80">
        <f>BF64*BG64</f>
        <v>0</v>
      </c>
      <c r="BI64" s="54"/>
      <c r="BJ64" s="117">
        <f>IF($BD$15=1,0,BF64)</f>
        <v>0</v>
      </c>
      <c r="BK64" s="118">
        <f>IF($BD$15=1,0,BG64)</f>
        <v>0</v>
      </c>
      <c r="BL64" s="80">
        <f>BJ64*BK64</f>
        <v>0</v>
      </c>
      <c r="BM64" s="54"/>
      <c r="BN64" s="117">
        <f>IF($BD$15=2,0,BJ64)</f>
        <v>0</v>
      </c>
      <c r="BO64" s="118">
        <f>IF($BD$15=2,0,BK64)</f>
        <v>0</v>
      </c>
      <c r="BP64" s="80">
        <f>BN64*BO64</f>
        <v>0</v>
      </c>
      <c r="BQ64" s="54"/>
      <c r="BR64" s="117">
        <f>IF($BD$15=3,0,BN64)</f>
        <v>0</v>
      </c>
      <c r="BS64" s="118">
        <f>IF($BD$15=3,0,BO64)</f>
        <v>0</v>
      </c>
      <c r="BT64" s="80">
        <f>BR64*BS64</f>
        <v>0</v>
      </c>
      <c r="BU64" s="54"/>
      <c r="BV64" s="117">
        <f>IF($BD$15=4,0,BR64)</f>
        <v>0</v>
      </c>
      <c r="BW64" s="118">
        <f>IF($BD$15=4,0,BS64)</f>
        <v>0</v>
      </c>
      <c r="BX64" s="80">
        <f>BV64*BW64</f>
        <v>0</v>
      </c>
      <c r="BY64" s="119"/>
      <c r="BZ64" s="117">
        <f>IF($BD$15=5,0,BV64)</f>
        <v>0</v>
      </c>
      <c r="CA64" s="118">
        <f t="shared" si="13"/>
        <v>0</v>
      </c>
      <c r="CB64" s="80">
        <f>BZ64*CA64</f>
        <v>0</v>
      </c>
      <c r="CC64" s="54"/>
      <c r="CD64" s="117">
        <f>IF($BD$15=6,0,BZ64)</f>
        <v>0</v>
      </c>
      <c r="CE64" s="118">
        <f t="shared" si="15"/>
        <v>0</v>
      </c>
      <c r="CF64" s="80">
        <f>CD64*CE64</f>
        <v>0</v>
      </c>
      <c r="CG64" s="54"/>
      <c r="CH64" s="117">
        <f t="shared" si="16"/>
        <v>0</v>
      </c>
      <c r="CI64" s="118">
        <f t="shared" si="17"/>
        <v>0</v>
      </c>
      <c r="CJ64" s="80">
        <f>CH64*CI64</f>
        <v>0</v>
      </c>
      <c r="CK64" s="54"/>
      <c r="CL64" s="117">
        <f t="shared" si="18"/>
        <v>0</v>
      </c>
      <c r="CM64" s="118">
        <f>IF($BD$15=8,0,CI64)</f>
        <v>0</v>
      </c>
      <c r="CN64" s="80">
        <f>CL64*CM64</f>
        <v>0</v>
      </c>
      <c r="CO64" s="54"/>
      <c r="CP64" s="117">
        <f t="shared" si="20"/>
        <v>0</v>
      </c>
      <c r="CQ64" s="118">
        <f t="shared" si="21"/>
        <v>0</v>
      </c>
      <c r="CR64" s="80">
        <f>CP64*CQ64</f>
        <v>0</v>
      </c>
      <c r="CS64" s="119">
        <f t="shared" si="22"/>
        <v>0</v>
      </c>
    </row>
    <row r="65" spans="1:94" ht="9" customHeight="1" x14ac:dyDescent="0.25">
      <c r="A65" s="36"/>
      <c r="I65" s="9"/>
      <c r="J65" s="14"/>
      <c r="L65" s="14"/>
      <c r="M65" s="44"/>
      <c r="N65" s="75"/>
      <c r="O65" s="44"/>
      <c r="P65" s="75"/>
      <c r="Q65" s="44"/>
      <c r="R65" s="75"/>
      <c r="S65" s="44"/>
      <c r="T65" s="14"/>
      <c r="V65" s="14"/>
      <c r="W65" s="44"/>
      <c r="X65" s="75"/>
      <c r="Y65" s="44"/>
      <c r="Z65" s="75"/>
      <c r="AA65" s="44"/>
      <c r="AB65" s="75"/>
      <c r="AC65" s="44"/>
      <c r="AD65" s="78"/>
      <c r="AF65" s="330"/>
      <c r="AH65" s="330"/>
      <c r="AI65" s="44"/>
      <c r="AJ65" s="340"/>
      <c r="AK65" s="44"/>
      <c r="AL65" s="340"/>
      <c r="AM65" s="44"/>
      <c r="AN65" s="340"/>
      <c r="AO65" s="44"/>
      <c r="AP65" s="330"/>
      <c r="AR65" s="330"/>
      <c r="AS65" s="44"/>
      <c r="AT65" s="340"/>
      <c r="AU65" s="44"/>
      <c r="AV65" s="340"/>
      <c r="AW65" s="44"/>
      <c r="AX65" s="340"/>
      <c r="AY65" s="44"/>
      <c r="AZ65" s="327"/>
      <c r="BF65" s="59"/>
      <c r="BJ65" s="59"/>
      <c r="BN65" s="59"/>
      <c r="BR65" s="59"/>
      <c r="BV65" s="59"/>
      <c r="BZ65" s="59"/>
      <c r="CD65" s="59"/>
      <c r="CH65" s="59"/>
      <c r="CL65" s="59"/>
      <c r="CP65" s="59"/>
    </row>
    <row r="66" spans="1:94" x14ac:dyDescent="0.25">
      <c r="A66" s="36"/>
      <c r="C66" s="77" t="s">
        <v>4</v>
      </c>
      <c r="I66" s="9"/>
      <c r="J66" s="78">
        <f>SUM(J22:J65)</f>
        <v>0</v>
      </c>
      <c r="L66" s="78">
        <f>SUM(L22:L64)</f>
        <v>0</v>
      </c>
      <c r="M66" s="44"/>
      <c r="N66" s="78">
        <f>SUM(N22:N64)</f>
        <v>0</v>
      </c>
      <c r="O66" s="44"/>
      <c r="P66" s="78">
        <f>SUM(P22:P64)</f>
        <v>0</v>
      </c>
      <c r="Q66" s="44"/>
      <c r="R66" s="78">
        <f>SUM(R22:R64)</f>
        <v>0</v>
      </c>
      <c r="S66" s="44"/>
      <c r="T66" s="78">
        <f>SUM(T22:T65)</f>
        <v>0</v>
      </c>
      <c r="V66" s="78">
        <f>SUM(V22:V64)</f>
        <v>0</v>
      </c>
      <c r="W66" s="44"/>
      <c r="X66" s="78">
        <f>SUM(X22:X64)</f>
        <v>0</v>
      </c>
      <c r="Y66" s="44"/>
      <c r="Z66" s="78">
        <f>SUM(Z22:Z64)</f>
        <v>0</v>
      </c>
      <c r="AA66" s="44"/>
      <c r="AB66" s="78">
        <f>SUM(AB22:AB64)</f>
        <v>0</v>
      </c>
      <c r="AC66" s="78"/>
      <c r="AD66" s="78">
        <f>J66+L66+N66+P66+R66+T66+V66+X66+Z66+AB66</f>
        <v>0</v>
      </c>
      <c r="AE66" s="78"/>
      <c r="AF66" s="327">
        <f>SUM(AF22:AF65)</f>
        <v>0</v>
      </c>
      <c r="AH66" s="327">
        <f>SUM(AH22:AH64)</f>
        <v>0</v>
      </c>
      <c r="AI66" s="44"/>
      <c r="AJ66" s="327">
        <f>SUM(AJ22:AJ64)</f>
        <v>0</v>
      </c>
      <c r="AK66" s="44"/>
      <c r="AL66" s="327">
        <f>SUM(AL22:AL64)</f>
        <v>0</v>
      </c>
      <c r="AM66" s="44"/>
      <c r="AN66" s="327">
        <f>SUM(AN22:AN64)</f>
        <v>0</v>
      </c>
      <c r="AO66" s="44"/>
      <c r="AP66" s="327">
        <f>SUM(AP22:AP65)</f>
        <v>0</v>
      </c>
      <c r="AR66" s="327">
        <f>SUM(AR22:AR64)</f>
        <v>0</v>
      </c>
      <c r="AS66" s="44"/>
      <c r="AT66" s="327">
        <f>SUM(AT22:AT64)</f>
        <v>0</v>
      </c>
      <c r="AU66" s="44"/>
      <c r="AV66" s="327">
        <f>SUM(AV22:AV64)</f>
        <v>0</v>
      </c>
      <c r="AW66" s="44"/>
      <c r="AX66" s="327">
        <f>SUM(AX22:AX64)</f>
        <v>0</v>
      </c>
      <c r="AY66" s="78"/>
      <c r="AZ66" s="327">
        <f>AF66+AH66+AJ66+AL66+AN66+AP66+AR66+AT66+AV66+AX66</f>
        <v>0</v>
      </c>
      <c r="BC66" s="62" t="s">
        <v>262</v>
      </c>
      <c r="BD66" s="62">
        <f>G209</f>
        <v>0</v>
      </c>
      <c r="BF66" s="59"/>
      <c r="BJ66" s="59"/>
      <c r="BN66" s="59"/>
      <c r="BR66" s="59"/>
      <c r="BV66" s="59"/>
      <c r="BZ66" s="59"/>
      <c r="CD66" s="59"/>
      <c r="CH66" s="59"/>
      <c r="CL66" s="59"/>
      <c r="CP66" s="59"/>
    </row>
    <row r="67" spans="1:94" x14ac:dyDescent="0.25">
      <c r="H67" s="29"/>
      <c r="I67" s="9"/>
      <c r="M67" s="44"/>
      <c r="N67" s="44"/>
      <c r="O67" s="44"/>
      <c r="P67" s="44"/>
      <c r="Q67" s="44"/>
      <c r="R67" s="44"/>
      <c r="S67" s="44"/>
      <c r="W67" s="44"/>
      <c r="X67" s="44"/>
      <c r="Y67" s="44"/>
      <c r="Z67" s="44"/>
      <c r="AA67" s="44"/>
      <c r="AB67" s="44"/>
      <c r="AC67" s="44"/>
      <c r="AD67" s="78"/>
      <c r="AI67" s="44"/>
      <c r="AJ67" s="89"/>
      <c r="AK67" s="44"/>
      <c r="AL67" s="89"/>
      <c r="AM67" s="44"/>
      <c r="AN67" s="89"/>
      <c r="AO67" s="44"/>
      <c r="AS67" s="44"/>
      <c r="AT67" s="89"/>
      <c r="AU67" s="44"/>
      <c r="AV67" s="89"/>
      <c r="AW67" s="44"/>
      <c r="AX67" s="89"/>
      <c r="AY67" s="44"/>
      <c r="AZ67" s="327"/>
      <c r="BF67" s="59"/>
      <c r="BJ67" s="59"/>
      <c r="BN67" s="59"/>
      <c r="BR67" s="59"/>
      <c r="BV67" s="59"/>
      <c r="BZ67" s="59"/>
      <c r="CD67" s="59"/>
      <c r="CH67" s="59"/>
      <c r="CL67" s="59"/>
      <c r="CP67" s="59"/>
    </row>
    <row r="68" spans="1:94" x14ac:dyDescent="0.25">
      <c r="B68" s="10" t="s">
        <v>5</v>
      </c>
      <c r="C68" s="10" t="s">
        <v>6</v>
      </c>
      <c r="H68" s="70" t="s">
        <v>33</v>
      </c>
      <c r="I68" s="9"/>
      <c r="M68" s="44"/>
      <c r="N68" s="44"/>
      <c r="O68" s="44"/>
      <c r="P68" s="44"/>
      <c r="Q68" s="44"/>
      <c r="R68" s="44"/>
      <c r="S68" s="44"/>
      <c r="W68" s="44"/>
      <c r="X68" s="44"/>
      <c r="Y68" s="44"/>
      <c r="Z68" s="44"/>
      <c r="AA68" s="44"/>
      <c r="AB68" s="44"/>
      <c r="AC68" s="44"/>
      <c r="AD68" s="78"/>
      <c r="AI68" s="44"/>
      <c r="AJ68" s="89"/>
      <c r="AK68" s="44"/>
      <c r="AL68" s="89"/>
      <c r="AM68" s="44"/>
      <c r="AN68" s="89"/>
      <c r="AO68" s="44"/>
      <c r="AS68" s="44"/>
      <c r="AT68" s="89"/>
      <c r="AU68" s="44"/>
      <c r="AV68" s="89"/>
      <c r="AW68" s="44"/>
      <c r="AX68" s="89"/>
      <c r="AY68" s="44"/>
      <c r="AZ68" s="327"/>
      <c r="BC68" s="18" t="s">
        <v>372</v>
      </c>
      <c r="BD68" s="177" t="s">
        <v>255</v>
      </c>
      <c r="BF68" s="59"/>
      <c r="BJ68" s="59"/>
      <c r="BN68" s="59"/>
      <c r="BR68" s="59"/>
      <c r="BV68" s="59"/>
      <c r="BZ68" s="59"/>
      <c r="CD68" s="59"/>
      <c r="CH68" s="59"/>
      <c r="CL68" s="59"/>
      <c r="CP68" s="59"/>
    </row>
    <row r="69" spans="1:94" x14ac:dyDescent="0.25">
      <c r="A69" s="36" t="str">
        <f>A22</f>
        <v>Regular Faculty</v>
      </c>
      <c r="B69" s="10"/>
      <c r="C69" s="77" t="str">
        <f>C21</f>
        <v xml:space="preserve">PI:  </v>
      </c>
      <c r="H69" s="353">
        <f>VLOOKUP(A69,Hidden_Lookups!$A$2:$B$13,2,FALSE)</f>
        <v>0.31</v>
      </c>
      <c r="I69" s="9"/>
      <c r="J69" s="78">
        <f>IF($BD$16="Yes",$H69*J22*(1+$BD$8),$H69*J22)</f>
        <v>0</v>
      </c>
      <c r="K69" s="44"/>
      <c r="L69" s="78">
        <f>IF($BD$16="Yes",$H69*L22*(1+$BD$8)^2,$H69*L22*(1+$BD$8))</f>
        <v>0</v>
      </c>
      <c r="M69" s="44"/>
      <c r="N69" s="78">
        <f>IF($BD$16="Yes",$H69*N22*(1+$BD$8)^3,$H69*N22*(1+$BD$8)^2)</f>
        <v>0</v>
      </c>
      <c r="O69" s="44"/>
      <c r="P69" s="78">
        <f>IF($BD$16="Yes",$H69*P22*(1+$BD$8)^4,$H69*P22*(1+$BD$8)^3)</f>
        <v>0</v>
      </c>
      <c r="Q69" s="44"/>
      <c r="R69" s="78">
        <f>IF($BD$16="Yes",$H69*R22*(1+$BD$8)^5,$H69*R22*(1+$BD$8)^4)</f>
        <v>0</v>
      </c>
      <c r="S69" s="78"/>
      <c r="T69" s="78">
        <f>IF($BD$16="Yes",$H69*T22*(1+$BD$8)^6,$H69*T22*(1+$BD$8)^5)</f>
        <v>0</v>
      </c>
      <c r="V69" s="78">
        <f>IF($BD$16="Yes",$H69*V22*(1+$BD$8)^7,$H69*V22*(1+$BD$8)^6)</f>
        <v>0</v>
      </c>
      <c r="W69" s="78"/>
      <c r="X69" s="78">
        <f>IF($BD$16="Yes",$H69*X22*(1+$BD$8)^8,$H69*X22*(1+$BD$8)^7)</f>
        <v>0</v>
      </c>
      <c r="Y69" s="78"/>
      <c r="Z69" s="78">
        <f>IF($BD$16="Yes",$H69*Z22*(1+$BD$8)^9,$H69*Z22*(1+$BD$8)^8)</f>
        <v>0</v>
      </c>
      <c r="AA69" s="78"/>
      <c r="AB69" s="78">
        <f>IF($BD$16="Yes",$H69*AB22*(1+$BD$8)^10,$H69*AB22*(1+$BD$8)^9)</f>
        <v>0</v>
      </c>
      <c r="AC69" s="78"/>
      <c r="AD69" s="78">
        <f>J69+L69+N69+P69+R69+T69+V69+X69+Z69+AB69</f>
        <v>0</v>
      </c>
      <c r="AE69" s="78"/>
      <c r="AF69" s="327">
        <f>IF($BD$16="Yes",$H69*AF22*(1+$BD$8),$H69*AF22)</f>
        <v>0</v>
      </c>
      <c r="AG69" s="44"/>
      <c r="AH69" s="327">
        <f>IF($BD$16="Yes",$H69*AH22*(1+$BD$8)^2,$H69*AH22*(1+$BD$8))</f>
        <v>0</v>
      </c>
      <c r="AI69" s="44"/>
      <c r="AJ69" s="327">
        <f>IF($BD$16="Yes",$H69*AJ22*(1+$BD$8)^3,$H69*AJ22*(1+$BD$8)^2)</f>
        <v>0</v>
      </c>
      <c r="AK69" s="44"/>
      <c r="AL69" s="327">
        <f>IF($BD$16="Yes",$H69*AL22*(1+$BD$8)^4,$H69*AL22*(1+$BD$8)^3)</f>
        <v>0</v>
      </c>
      <c r="AM69" s="44"/>
      <c r="AN69" s="327">
        <f>IF($BD$16="Yes",$H69*AN22*(1+$BD$8)^5,$H69*AN22*(1+$BD$8)^4)</f>
        <v>0</v>
      </c>
      <c r="AO69" s="78"/>
      <c r="AP69" s="327">
        <f>IF($BD$16="Yes",$H69*AP22*(1+$BD$8)^6,$H69*AP22*(1+$BD$8)^5)</f>
        <v>0</v>
      </c>
      <c r="AR69" s="327">
        <f>IF($BD$16="Yes",$H69*AR22*(1+$BD$8)^7,$H69*AR22*(1+$BD$8)^6)</f>
        <v>0</v>
      </c>
      <c r="AS69" s="78"/>
      <c r="AT69" s="327">
        <f>IF($BD$16="Yes",$H69*AT22*(1+$BD$8)^8,$H69*AT22*(1+$BD$8)^7)</f>
        <v>0</v>
      </c>
      <c r="AU69" s="78"/>
      <c r="AV69" s="327">
        <f>IF($BD$16="Yes",$H69*AV22*(1+$BD$8)^9,$H69*AV22*(1+$BD$8)^8)</f>
        <v>0</v>
      </c>
      <c r="AW69" s="78"/>
      <c r="AX69" s="327">
        <f>IF($BD$16="Yes",$H69*AX22*(1+$BD$8)^10,$H69*AX22*(1+$BD$8)^9)</f>
        <v>0</v>
      </c>
      <c r="AY69" s="78"/>
      <c r="AZ69" s="327">
        <f>AF69+AH69+AJ69+AL69+AN69+AP69+AR69+AT69+AV69+AX69</f>
        <v>0</v>
      </c>
      <c r="BC69" s="12" t="s">
        <v>386</v>
      </c>
      <c r="BF69" s="59"/>
      <c r="BJ69" s="59"/>
      <c r="BN69" s="59"/>
      <c r="BR69" s="59"/>
      <c r="BV69" s="59"/>
      <c r="BZ69" s="59"/>
      <c r="CD69" s="59"/>
      <c r="CH69" s="59"/>
      <c r="CL69" s="59"/>
      <c r="CP69" s="59"/>
    </row>
    <row r="70" spans="1:94" x14ac:dyDescent="0.25">
      <c r="A70" s="36" t="str">
        <f>A24</f>
        <v>Regular Faculty</v>
      </c>
      <c r="B70" s="10"/>
      <c r="C70" s="77" t="str">
        <f>C23</f>
        <v xml:space="preserve">Co-PI: </v>
      </c>
      <c r="H70" s="353">
        <f>VLOOKUP(A70,Hidden_Lookups!$A$2:$B$13,2,FALSE)</f>
        <v>0.31</v>
      </c>
      <c r="I70" s="9"/>
      <c r="J70" s="78">
        <f>IF($BD$16="Yes",$H70*J24*(1+$BD$8),$H70*J24)</f>
        <v>0</v>
      </c>
      <c r="K70" s="44"/>
      <c r="L70" s="78">
        <f>IF($BD$16="Yes",$H70*L24*(1+$BD$8)^2,$H70*L24*(1+$BD$8))</f>
        <v>0</v>
      </c>
      <c r="M70" s="44"/>
      <c r="N70" s="78">
        <f>IF($BD$16="Yes",$H70*N24*(1+$BD$8)^3,$H70*N24*(1+$BD$8)^2)</f>
        <v>0</v>
      </c>
      <c r="O70" s="44"/>
      <c r="P70" s="78">
        <f>IF($BD$16="Yes",$H70*P24*(1+$BD$8)^4,$H70*P24*(1+$BD$8)^3)</f>
        <v>0</v>
      </c>
      <c r="Q70" s="44"/>
      <c r="R70" s="78">
        <f>IF($BD$16="Yes",$H70*R24*(1+$BD$8)^5,$H70*R24*(1+$BD$8)^4)</f>
        <v>0</v>
      </c>
      <c r="S70" s="78"/>
      <c r="T70" s="78">
        <f>IF($BD$16="Yes",$H70*T24*(1+$BD$8)^6,$H70*T24*(1+$BD$8)^5)</f>
        <v>0</v>
      </c>
      <c r="V70" s="78">
        <f>IF($BD$16="Yes",$H70*V24*(1+$BD$8)^7,$H70*V24*(1+$BD$8)^6)</f>
        <v>0</v>
      </c>
      <c r="W70" s="78"/>
      <c r="X70" s="78">
        <f>IF($BD$16="Yes",$H70*X24*(1+$BD$8)^8,$H70*X24*(1+$BD$8)^7)</f>
        <v>0</v>
      </c>
      <c r="Y70" s="78"/>
      <c r="Z70" s="78">
        <f>IF($BD$16="Yes",$H70*Z24*(1+$BD$8)^9,$H70*Z24*(1+$BD$8)^8)</f>
        <v>0</v>
      </c>
      <c r="AA70" s="78"/>
      <c r="AB70" s="78">
        <f>IF($BD$16="Yes",$H70*AB24*(1+$BD$8)^10,$H70*AB24*(1+$BD$8)^9)</f>
        <v>0</v>
      </c>
      <c r="AC70" s="78"/>
      <c r="AD70" s="78">
        <f t="shared" ref="AD70:AD85" si="24">J70+L70+N70+P70+R70+T70+V70+X70+Z70+AB70</f>
        <v>0</v>
      </c>
      <c r="AE70" s="78"/>
      <c r="AF70" s="327">
        <f>IF($BD$16="Yes",$H70*AF24*(1+$BD$8),$H70*AF24)</f>
        <v>0</v>
      </c>
      <c r="AG70" s="44"/>
      <c r="AH70" s="327">
        <f>IF($BD$16="Yes",$H70*AH24*(1+$BD$8)^2,$H70*AH24*(1+$BD$8))</f>
        <v>0</v>
      </c>
      <c r="AI70" s="44"/>
      <c r="AJ70" s="327">
        <f>IF($BD$16="Yes",$H70*AJ24*(1+$BD$8)^3,$H70*AJ24*(1+$BD$8)^2)</f>
        <v>0</v>
      </c>
      <c r="AK70" s="44"/>
      <c r="AL70" s="327">
        <f>IF($BD$16="Yes",$H70*AL24*(1+$BD$8)^4,$H70*AL24*(1+$BD$8)^3)</f>
        <v>0</v>
      </c>
      <c r="AM70" s="44"/>
      <c r="AN70" s="327">
        <f>IF($BD$16="Yes",$H70*AN24*(1+$BD$8)^5,$H70*AN24*(1+$BD$8)^4)</f>
        <v>0</v>
      </c>
      <c r="AO70" s="78"/>
      <c r="AP70" s="327">
        <f>IF($BD$16="Yes",$H70*AP24*(1+$BD$8)^6,$H70*AP24*(1+$BD$8)^5)</f>
        <v>0</v>
      </c>
      <c r="AR70" s="327">
        <f>IF($BD$16="Yes",$H70*AR24*(1+$BD$8)^7,$H70*AR24*(1+$BD$8)^6)</f>
        <v>0</v>
      </c>
      <c r="AS70" s="78"/>
      <c r="AT70" s="327">
        <f>IF($BD$16="Yes",$H70*AT24*(1+$BD$8)^8,$H70*AT24*(1+$BD$8)^7)</f>
        <v>0</v>
      </c>
      <c r="AU70" s="78"/>
      <c r="AV70" s="327">
        <f>IF($BD$16="Yes",$H70*AV24*(1+$BD$8)^9,$H70*AV24*(1+$BD$8)^8)</f>
        <v>0</v>
      </c>
      <c r="AW70" s="78"/>
      <c r="AX70" s="327">
        <f>IF($BD$16="Yes",$H70*AX24*(1+$BD$8)^10,$H70*AX24*(1+$BD$8)^9)</f>
        <v>0</v>
      </c>
      <c r="AY70" s="78"/>
      <c r="AZ70" s="327">
        <f t="shared" ref="AZ70:AZ85" si="25">AF70+AH70+AJ70+AL70+AN70+AP70+AR70+AT70+AV70+AX70</f>
        <v>0</v>
      </c>
      <c r="BF70" s="59"/>
      <c r="BJ70" s="59"/>
      <c r="BN70" s="59"/>
      <c r="BR70" s="59"/>
      <c r="BV70" s="59"/>
      <c r="BZ70" s="59"/>
      <c r="CD70" s="59"/>
      <c r="CH70" s="59"/>
      <c r="CL70" s="59"/>
      <c r="CP70" s="59"/>
    </row>
    <row r="71" spans="1:94" x14ac:dyDescent="0.25">
      <c r="A71" s="36" t="str">
        <f>A26</f>
        <v>Regular Faculty</v>
      </c>
      <c r="B71" s="10"/>
      <c r="C71" s="77" t="str">
        <f>C25</f>
        <v xml:space="preserve">Co-PI: </v>
      </c>
      <c r="H71" s="353">
        <f>VLOOKUP(A71,Hidden_Lookups!$A$2:$B$13,2,FALSE)</f>
        <v>0.31</v>
      </c>
      <c r="I71" s="9"/>
      <c r="J71" s="78">
        <f>IF($BD$16="Yes",$H71*J26*(1+$BD$8),$H71*J26)</f>
        <v>0</v>
      </c>
      <c r="K71" s="44"/>
      <c r="L71" s="78">
        <f>IF($BD$16="Yes",$H71*L26*(1+$BD$8)^2,$H71*L26*(1+$BD$8))</f>
        <v>0</v>
      </c>
      <c r="M71" s="44"/>
      <c r="N71" s="78">
        <f>IF($BD$16="Yes",$H71*N26*(1+$BD$8)^3,$H71*N26*(1+$BD$8)^2)</f>
        <v>0</v>
      </c>
      <c r="O71" s="44"/>
      <c r="P71" s="78">
        <f>IF($BD$16="Yes",$H71*P26*(1+$BD$8)^4,$H71*P26*(1+$BD$8)^3)</f>
        <v>0</v>
      </c>
      <c r="Q71" s="44"/>
      <c r="R71" s="78">
        <f>IF($BD$16="Yes",$H71*R26*(1+$BD$8)^5,$H71*R26*(1+$BD$8)^4)</f>
        <v>0</v>
      </c>
      <c r="S71" s="78"/>
      <c r="T71" s="78">
        <f>IF($BD$16="Yes",$H71*T26*(1+$BD$8)^6,$H71*T26*(1+$BD$8)^5)</f>
        <v>0</v>
      </c>
      <c r="V71" s="78">
        <f>IF($BD$16="Yes",$H71*V26*(1+$BD$8)^7,$H71*V26*(1+$BD$8)^6)</f>
        <v>0</v>
      </c>
      <c r="W71" s="78"/>
      <c r="X71" s="78">
        <f>IF($BD$16="Yes",$H71*X26*(1+$BD$8)^8,$H71*X26*(1+$BD$8)^7)</f>
        <v>0</v>
      </c>
      <c r="Y71" s="78"/>
      <c r="Z71" s="78">
        <f>IF($BD$16="Yes",$H71*Z26*(1+$BD$8)^9,$H71*Z26*(1+$BD$8)^8)</f>
        <v>0</v>
      </c>
      <c r="AA71" s="78"/>
      <c r="AB71" s="78">
        <f>IF($BD$16="Yes",$H71*AB26*(1+$BD$8)^10,$H71*AB26*(1+$BD$8)^9)</f>
        <v>0</v>
      </c>
      <c r="AC71" s="78"/>
      <c r="AD71" s="78">
        <f t="shared" si="24"/>
        <v>0</v>
      </c>
      <c r="AE71" s="78"/>
      <c r="AF71" s="327">
        <f>IF($BD$16="Yes",$H71*AF26*(1+$BD$8),$H71*AF26)</f>
        <v>0</v>
      </c>
      <c r="AG71" s="44"/>
      <c r="AH71" s="327">
        <f>IF($BD$16="Yes",$H71*AH26*(1+$BD$8)^2,$H71*AH26*(1+$BD$8))</f>
        <v>0</v>
      </c>
      <c r="AI71" s="44"/>
      <c r="AJ71" s="327">
        <f>IF($BD$16="Yes",$H71*AJ26*(1+$BD$8)^3,$H71*AJ26*(1+$BD$8)^2)</f>
        <v>0</v>
      </c>
      <c r="AK71" s="44"/>
      <c r="AL71" s="327">
        <f>IF($BD$16="Yes",$H71*AL26*(1+$BD$8)^4,$H71*AL26*(1+$BD$8)^3)</f>
        <v>0</v>
      </c>
      <c r="AM71" s="44"/>
      <c r="AN71" s="327">
        <f>IF($BD$16="Yes",$H71*AN26*(1+$BD$8)^5,$H71*AN26*(1+$BD$8)^4)</f>
        <v>0</v>
      </c>
      <c r="AO71" s="78"/>
      <c r="AP71" s="327">
        <f>IF($BD$16="Yes",$H71*AP26*(1+$BD$8)^6,$H71*AP26*(1+$BD$8)^5)</f>
        <v>0</v>
      </c>
      <c r="AR71" s="327">
        <f>IF($BD$16="Yes",$H71*AR26*(1+$BD$8)^7,$H71*AR26*(1+$BD$8)^6)</f>
        <v>0</v>
      </c>
      <c r="AS71" s="78"/>
      <c r="AT71" s="327">
        <f>IF($BD$16="Yes",$H71*AT26*(1+$BD$8)^8,$H71*AT26*(1+$BD$8)^7)</f>
        <v>0</v>
      </c>
      <c r="AU71" s="78"/>
      <c r="AV71" s="327">
        <f>IF($BD$16="Yes",$H71*AV26*(1+$BD$8)^9,$H71*AV26*(1+$BD$8)^8)</f>
        <v>0</v>
      </c>
      <c r="AW71" s="78"/>
      <c r="AX71" s="327">
        <f>IF($BD$16="Yes",$H71*AX26*(1+$BD$8)^10,$H71*AX26*(1+$BD$8)^9)</f>
        <v>0</v>
      </c>
      <c r="AY71" s="78"/>
      <c r="AZ71" s="327">
        <f t="shared" si="25"/>
        <v>0</v>
      </c>
      <c r="BF71" s="59"/>
      <c r="BJ71" s="59"/>
      <c r="BN71" s="59"/>
      <c r="BR71" s="59"/>
      <c r="BV71" s="59"/>
      <c r="BZ71" s="59"/>
      <c r="CD71" s="59"/>
      <c r="CH71" s="59"/>
      <c r="CL71" s="59"/>
      <c r="CP71" s="59"/>
    </row>
    <row r="72" spans="1:94" x14ac:dyDescent="0.25">
      <c r="A72" s="36" t="str">
        <f>A28</f>
        <v>Regular Faculty</v>
      </c>
      <c r="B72" s="10"/>
      <c r="C72" s="77" t="str">
        <f>C27</f>
        <v xml:space="preserve">Co-PI: </v>
      </c>
      <c r="H72" s="353">
        <f>VLOOKUP(A72,Hidden_Lookups!$A$2:$B$13,2,FALSE)</f>
        <v>0.31</v>
      </c>
      <c r="I72" s="9"/>
      <c r="J72" s="78">
        <f>IF($BD$16="Yes",$H72*J28*(1+$BD$8),$H72*J28)</f>
        <v>0</v>
      </c>
      <c r="K72" s="44"/>
      <c r="L72" s="78">
        <f>IF($BD$16="Yes",$H72*L28*(1+$BD$8)^2,$H72*L28*(1+$BD$8))</f>
        <v>0</v>
      </c>
      <c r="M72" s="44"/>
      <c r="N72" s="78">
        <f>IF($BD$16="Yes",$H72*N28*(1+$BD$8)^3,$H72*N28*(1+$BD$8)^2)</f>
        <v>0</v>
      </c>
      <c r="O72" s="44"/>
      <c r="P72" s="78">
        <f>IF($BD$16="Yes",$H72*P28*(1+$BD$8)^4,$H72*P28*(1+$BD$8)^3)</f>
        <v>0</v>
      </c>
      <c r="Q72" s="44"/>
      <c r="R72" s="78">
        <f>IF($BD$16="Yes",$H72*R28*(1+$BD$8)^5,$H72*R28*(1+$BD$8)^4)</f>
        <v>0</v>
      </c>
      <c r="S72" s="78"/>
      <c r="T72" s="78">
        <f>IF($BD$16="Yes",$H72*T28*(1+$BD$8)^6,$H72*T28*(1+$BD$8)^5)</f>
        <v>0</v>
      </c>
      <c r="V72" s="78">
        <f>IF($BD$16="Yes",$H72*V28*(1+$BD$8)^7,$H72*V28*(1+$BD$8)^6)</f>
        <v>0</v>
      </c>
      <c r="W72" s="78"/>
      <c r="X72" s="78">
        <f>IF($BD$16="Yes",$H72*X28*(1+$BD$8)^8,$H72*X28*(1+$BD$8)^7)</f>
        <v>0</v>
      </c>
      <c r="Y72" s="78"/>
      <c r="Z72" s="78">
        <f>IF($BD$16="Yes",$H72*Z28*(1+$BD$8)^9,$H72*Z28*(1+$BD$8)^8)</f>
        <v>0</v>
      </c>
      <c r="AA72" s="78"/>
      <c r="AB72" s="78">
        <f>IF($BD$16="Yes",$H72*AB28*(1+$BD$8)^10,$H72*AB28*(1+$BD$8)^9)</f>
        <v>0</v>
      </c>
      <c r="AC72" s="78"/>
      <c r="AD72" s="78">
        <f t="shared" si="24"/>
        <v>0</v>
      </c>
      <c r="AE72" s="78"/>
      <c r="AF72" s="327">
        <f>IF($BD$16="Yes",$H72*AF28*(1+$BD$8),$H72*AF28)</f>
        <v>0</v>
      </c>
      <c r="AG72" s="44"/>
      <c r="AH72" s="327">
        <f>IF($BD$16="Yes",$H72*AH28*(1+$BD$8)^2,$H72*AH28*(1+$BD$8))</f>
        <v>0</v>
      </c>
      <c r="AI72" s="44"/>
      <c r="AJ72" s="327">
        <f>IF($BD$16="Yes",$H72*AJ28*(1+$BD$8)^3,$H72*AJ28*(1+$BD$8)^2)</f>
        <v>0</v>
      </c>
      <c r="AK72" s="44"/>
      <c r="AL72" s="327">
        <f>IF($BD$16="Yes",$H72*AL28*(1+$BD$8)^4,$H72*AL28*(1+$BD$8)^3)</f>
        <v>0</v>
      </c>
      <c r="AM72" s="44"/>
      <c r="AN72" s="327">
        <f>IF($BD$16="Yes",$H72*AN28*(1+$BD$8)^5,$H72*AN28*(1+$BD$8)^4)</f>
        <v>0</v>
      </c>
      <c r="AO72" s="78"/>
      <c r="AP72" s="327">
        <f>IF($BD$16="Yes",$H72*AP28*(1+$BD$8)^6,$H72*AP28*(1+$BD$8)^5)</f>
        <v>0</v>
      </c>
      <c r="AR72" s="327">
        <f>IF($BD$16="Yes",$H72*AR28*(1+$BD$8)^7,$H72*AR28*(1+$BD$8)^6)</f>
        <v>0</v>
      </c>
      <c r="AS72" s="78"/>
      <c r="AT72" s="327">
        <f>IF($BD$16="Yes",$H72*AT28*(1+$BD$8)^8,$H72*AT28*(1+$BD$8)^7)</f>
        <v>0</v>
      </c>
      <c r="AU72" s="78"/>
      <c r="AV72" s="327">
        <f>IF($BD$16="Yes",$H72*AV28*(1+$BD$8)^9,$H72*AV28*(1+$BD$8)^8)</f>
        <v>0</v>
      </c>
      <c r="AW72" s="78"/>
      <c r="AX72" s="327">
        <f>IF($BD$16="Yes",$H72*AX28*(1+$BD$8)^10,$H72*AX28*(1+$BD$8)^9)</f>
        <v>0</v>
      </c>
      <c r="AY72" s="78"/>
      <c r="AZ72" s="327">
        <f t="shared" si="25"/>
        <v>0</v>
      </c>
      <c r="BF72" s="59"/>
      <c r="BJ72" s="59"/>
      <c r="BN72" s="59"/>
      <c r="BR72" s="59"/>
      <c r="BV72" s="59"/>
      <c r="BZ72" s="59"/>
      <c r="CD72" s="59"/>
      <c r="CH72" s="59"/>
      <c r="CL72" s="59"/>
      <c r="CP72" s="59"/>
    </row>
    <row r="73" spans="1:94" x14ac:dyDescent="0.25">
      <c r="A73" s="36" t="str">
        <f>A30</f>
        <v>Regular Faculty</v>
      </c>
      <c r="B73" s="10"/>
      <c r="C73" s="77" t="str">
        <f>C29</f>
        <v xml:space="preserve">Co-PI: </v>
      </c>
      <c r="H73" s="353">
        <f>VLOOKUP(A73,Hidden_Lookups!$A$2:$B$13,2,FALSE)</f>
        <v>0.31</v>
      </c>
      <c r="I73" s="9"/>
      <c r="J73" s="78">
        <f>IF($BD$16="Yes",$H73*J30*(1+$BD$8),$H73*J30)</f>
        <v>0</v>
      </c>
      <c r="K73" s="44"/>
      <c r="L73" s="78">
        <f>IF($BD$16="Yes",$H73*L30*(1+$BD$8)^2,$H73*L30*(1+$BD$8))</f>
        <v>0</v>
      </c>
      <c r="M73" s="44"/>
      <c r="N73" s="78">
        <f>IF($BD$16="Yes",$H73*N30*(1+$BD$8)^3,$H73*N30*(1+$BD$8)^2)</f>
        <v>0</v>
      </c>
      <c r="O73" s="44"/>
      <c r="P73" s="78">
        <f>IF($BD$16="Yes",$H73*P30*(1+$BD$8)^4,$H73*P30*(1+$BD$8)^3)</f>
        <v>0</v>
      </c>
      <c r="Q73" s="44"/>
      <c r="R73" s="78">
        <f>IF($BD$16="Yes",$H73*R30*(1+$BD$8)^5,$H73*R30*(1+$BD$8)^4)</f>
        <v>0</v>
      </c>
      <c r="S73" s="78"/>
      <c r="T73" s="78">
        <f>IF($BD$16="Yes",$H73*T30*(1+$BD$8)^6,$H73*T30*(1+$BD$8)^5)</f>
        <v>0</v>
      </c>
      <c r="V73" s="78">
        <f>IF($BD$16="Yes",$H73*V30*(1+$BD$8)^7,$H73*V30*(1+$BD$8)^6)</f>
        <v>0</v>
      </c>
      <c r="W73" s="78"/>
      <c r="X73" s="78">
        <f>IF($BD$16="Yes",$H73*X30*(1+$BD$8)^8,$H73*X30*(1+$BD$8)^7)</f>
        <v>0</v>
      </c>
      <c r="Y73" s="78"/>
      <c r="Z73" s="78">
        <f>IF($BD$16="Yes",$H73*Z30*(1+$BD$8)^9,$H73*Z30*(1+$BD$8)^8)</f>
        <v>0</v>
      </c>
      <c r="AA73" s="78"/>
      <c r="AB73" s="78">
        <f>IF($BD$16="Yes",$H73*AB30*(1+$BD$8)^10,$H73*AB30*(1+$BD$8)^9)</f>
        <v>0</v>
      </c>
      <c r="AC73" s="78"/>
      <c r="AD73" s="78">
        <f t="shared" si="24"/>
        <v>0</v>
      </c>
      <c r="AE73" s="78"/>
      <c r="AF73" s="327">
        <f>IF($BD$16="Yes",$H73*AF30*(1+$BD$8),$H73*AF30)</f>
        <v>0</v>
      </c>
      <c r="AG73" s="44"/>
      <c r="AH73" s="327">
        <f>IF($BD$16="Yes",$H73*AH30*(1+$BD$8)^2,$H73*AH30*(1+$BD$8))</f>
        <v>0</v>
      </c>
      <c r="AI73" s="44"/>
      <c r="AJ73" s="327">
        <f>IF($BD$16="Yes",$H73*AJ30*(1+$BD$8)^3,$H73*AJ30*(1+$BD$8)^2)</f>
        <v>0</v>
      </c>
      <c r="AK73" s="44"/>
      <c r="AL73" s="327">
        <f>IF($BD$16="Yes",$H73*AL30*(1+$BD$8)^4,$H73*AL30*(1+$BD$8)^3)</f>
        <v>0</v>
      </c>
      <c r="AM73" s="44"/>
      <c r="AN73" s="327">
        <f>IF($BD$16="Yes",$H73*AN30*(1+$BD$8)^5,$H73*AN30*(1+$BD$8)^4)</f>
        <v>0</v>
      </c>
      <c r="AO73" s="78"/>
      <c r="AP73" s="327">
        <f>IF($BD$16="Yes",$H73*AP30*(1+$BD$8)^6,$H73*AP30*(1+$BD$8)^5)</f>
        <v>0</v>
      </c>
      <c r="AR73" s="327">
        <f>IF($BD$16="Yes",$H73*AR30*(1+$BD$8)^7,$H73*AR30*(1+$BD$8)^6)</f>
        <v>0</v>
      </c>
      <c r="AS73" s="78"/>
      <c r="AT73" s="327">
        <f>IF($BD$16="Yes",$H73*AT30*(1+$BD$8)^8,$H73*AT30*(1+$BD$8)^7)</f>
        <v>0</v>
      </c>
      <c r="AU73" s="78"/>
      <c r="AV73" s="327">
        <f>IF($BD$16="Yes",$H73*AV30*(1+$BD$8)^9,$H73*AV30*(1+$BD$8)^8)</f>
        <v>0</v>
      </c>
      <c r="AW73" s="78"/>
      <c r="AX73" s="327">
        <f>IF($BD$16="Yes",$H73*AX30*(1+$BD$8)^10,$H73*AX30*(1+$BD$8)^9)</f>
        <v>0</v>
      </c>
      <c r="AY73" s="78"/>
      <c r="AZ73" s="327">
        <f t="shared" si="25"/>
        <v>0</v>
      </c>
      <c r="BF73" s="59"/>
      <c r="BJ73" s="59"/>
      <c r="BN73" s="59"/>
      <c r="BR73" s="59"/>
      <c r="BV73" s="59"/>
      <c r="BZ73" s="59"/>
      <c r="CD73" s="59"/>
      <c r="CH73" s="59"/>
      <c r="CL73" s="59"/>
      <c r="CP73" s="59"/>
    </row>
    <row r="74" spans="1:94" x14ac:dyDescent="0.25">
      <c r="A74" s="36" t="str">
        <f>A32</f>
        <v>Research Associate</v>
      </c>
      <c r="B74" s="10"/>
      <c r="C74" s="77" t="str">
        <f>C31</f>
        <v>Research Associate:</v>
      </c>
      <c r="H74" s="353">
        <f>VLOOKUP(A74,Hidden_Lookups!$A$2:$B$13,2,FALSE)</f>
        <v>0.4</v>
      </c>
      <c r="I74" s="9"/>
      <c r="J74" s="78">
        <f>IF($BD$16="Yes",$H74*J32*(1+$BD$8),$H74*J32)</f>
        <v>0</v>
      </c>
      <c r="K74" s="44"/>
      <c r="L74" s="78">
        <f>IF($BD$16="Yes",$H74*L32*(1+$BD$8)^2,$H74*L32*(1+$BD$8))</f>
        <v>0</v>
      </c>
      <c r="M74" s="44"/>
      <c r="N74" s="78">
        <f>IF($BD$16="Yes",$H74*N32*(1+$BD$8)^3,$H74*N32*(1+$BD$8)^2)</f>
        <v>0</v>
      </c>
      <c r="O74" s="44"/>
      <c r="P74" s="78">
        <f>IF($BD$16="Yes",$H74*P32*(1+$BD$8)^4,$H74*P32*(1+$BD$8)^3)</f>
        <v>0</v>
      </c>
      <c r="Q74" s="44"/>
      <c r="R74" s="78">
        <f>IF($BD$16="Yes",$H74*R32*(1+$BD$8)^5,$H74*R32*(1+$BD$8)^4)</f>
        <v>0</v>
      </c>
      <c r="S74" s="78"/>
      <c r="T74" s="78">
        <f>IF($BD$16="Yes",$H74*T32*(1+$BD$8)^6,$H74*T32*(1+$BD$8)^5)</f>
        <v>0</v>
      </c>
      <c r="V74" s="78">
        <f>IF($BD$16="Yes",$H74*V32*(1+$BD$8)^7,$H74*V32*(1+$BD$8)^6)</f>
        <v>0</v>
      </c>
      <c r="W74" s="78"/>
      <c r="X74" s="78">
        <f>IF($BD$16="Yes",$H74*X32*(1+$BD$8)^8,$H74*X32*(1+$BD$8)^7)</f>
        <v>0</v>
      </c>
      <c r="Y74" s="78"/>
      <c r="Z74" s="78">
        <f>IF($BD$16="Yes",$H74*Z32*(1+$BD$8)^9,$H74*Z32*(1+$BD$8)^8)</f>
        <v>0</v>
      </c>
      <c r="AA74" s="78"/>
      <c r="AB74" s="78">
        <f>IF($BD$16="Yes",$H74*AB32*(1+$BD$8)^10,$H74*AB32*(1+$BD$8)^9)</f>
        <v>0</v>
      </c>
      <c r="AC74" s="78"/>
      <c r="AD74" s="78">
        <f t="shared" si="24"/>
        <v>0</v>
      </c>
      <c r="AE74" s="78"/>
      <c r="AF74" s="327">
        <f>IF($BD$16="Yes",$H74*AF32*(1+$BD$8),$H74*AF32)</f>
        <v>0</v>
      </c>
      <c r="AG74" s="44"/>
      <c r="AH74" s="327">
        <f>IF($BD$16="Yes",$H74*AH32*(1+$BD$8)^2,$H74*AH32*(1+$BD$8))</f>
        <v>0</v>
      </c>
      <c r="AI74" s="44"/>
      <c r="AJ74" s="327">
        <f>IF($BD$16="Yes",$H74*AJ32*(1+$BD$8)^3,$H74*AJ32*(1+$BD$8)^2)</f>
        <v>0</v>
      </c>
      <c r="AK74" s="44"/>
      <c r="AL74" s="327">
        <f>IF($BD$16="Yes",$H74*AL32*(1+$BD$8)^4,$H74*AL32*(1+$BD$8)^3)</f>
        <v>0</v>
      </c>
      <c r="AM74" s="44"/>
      <c r="AN74" s="327">
        <f>IF($BD$16="Yes",$H74*AN32*(1+$BD$8)^5,$H74*AN32*(1+$BD$8)^4)</f>
        <v>0</v>
      </c>
      <c r="AO74" s="78"/>
      <c r="AP74" s="327">
        <f>IF($BD$16="Yes",$H74*AP32*(1+$BD$8)^6,$H74*AP32*(1+$BD$8)^5)</f>
        <v>0</v>
      </c>
      <c r="AR74" s="327">
        <f>IF($BD$16="Yes",$H74*AR32*(1+$BD$8)^7,$H74*AR32*(1+$BD$8)^6)</f>
        <v>0</v>
      </c>
      <c r="AS74" s="78"/>
      <c r="AT74" s="327">
        <f>IF($BD$16="Yes",$H74*AT32*(1+$BD$8)^8,$H74*AT32*(1+$BD$8)^7)</f>
        <v>0</v>
      </c>
      <c r="AU74" s="78"/>
      <c r="AV74" s="327">
        <f>IF($BD$16="Yes",$H74*AV32*(1+$BD$8)^9,$H74*AV32*(1+$BD$8)^8)</f>
        <v>0</v>
      </c>
      <c r="AW74" s="78"/>
      <c r="AX74" s="327">
        <f>IF($BD$16="Yes",$H74*AX32*(1+$BD$8)^10,$H74*AX32*(1+$BD$8)^9)</f>
        <v>0</v>
      </c>
      <c r="AY74" s="78"/>
      <c r="AZ74" s="327">
        <f t="shared" si="25"/>
        <v>0</v>
      </c>
      <c r="BF74" s="59"/>
      <c r="BJ74" s="59"/>
      <c r="BN74" s="59"/>
      <c r="BR74" s="59"/>
      <c r="BV74" s="59"/>
      <c r="BZ74" s="59"/>
      <c r="CD74" s="59"/>
      <c r="CH74" s="59"/>
      <c r="CL74" s="59"/>
      <c r="CP74" s="59"/>
    </row>
    <row r="75" spans="1:94" x14ac:dyDescent="0.25">
      <c r="A75" s="36" t="str">
        <f>A34</f>
        <v>Research Associate</v>
      </c>
      <c r="B75" s="10"/>
      <c r="C75" s="77" t="str">
        <f>C33</f>
        <v>Research Associate:</v>
      </c>
      <c r="H75" s="353">
        <f>VLOOKUP(A75,Hidden_Lookups!$A$2:$B$13,2,FALSE)</f>
        <v>0.4</v>
      </c>
      <c r="I75" s="9"/>
      <c r="J75" s="78">
        <f>IF($BD$16="Yes",$H75*J34*(1+$BD$8),$H75*J34)</f>
        <v>0</v>
      </c>
      <c r="K75" s="44"/>
      <c r="L75" s="78">
        <f>IF($BD$16="Yes",$H75*L34*(1+$BD$8)^2,$H75*L34*(1+$BD$8))</f>
        <v>0</v>
      </c>
      <c r="M75" s="44"/>
      <c r="N75" s="78">
        <f>IF($BD$16="Yes",$H75*N34*(1+$BD$8)^3,$H75*N34*(1+$BD$8)^2)</f>
        <v>0</v>
      </c>
      <c r="O75" s="44"/>
      <c r="P75" s="78">
        <f>IF($BD$16="Yes",$H75*P34*(1+$BD$8)^4,$H75*P34*(1+$BD$8)^3)</f>
        <v>0</v>
      </c>
      <c r="Q75" s="44"/>
      <c r="R75" s="78">
        <f>IF($BD$16="Yes",$H75*R34*(1+$BD$8)^5,$H75*R34*(1+$BD$8)^4)</f>
        <v>0</v>
      </c>
      <c r="S75" s="78"/>
      <c r="T75" s="78">
        <f>IF($BD$16="Yes",$H75*T34*(1+$BD$8)^6,$H75*T34*(1+$BD$8)^5)</f>
        <v>0</v>
      </c>
      <c r="V75" s="78">
        <f>IF($BD$16="Yes",$H75*V34*(1+$BD$8)^7,$H75*V34*(1+$BD$8)^6)</f>
        <v>0</v>
      </c>
      <c r="W75" s="78"/>
      <c r="X75" s="78">
        <f>IF($BD$16="Yes",$H75*X34*(1+$BD$8)^8,$H75*X34*(1+$BD$8)^7)</f>
        <v>0</v>
      </c>
      <c r="Y75" s="78"/>
      <c r="Z75" s="78">
        <f>IF($BD$16="Yes",$H75*Z34*(1+$BD$8)^9,$H75*Z34*(1+$BD$8)^8)</f>
        <v>0</v>
      </c>
      <c r="AA75" s="78"/>
      <c r="AB75" s="78">
        <f>IF($BD$16="Yes",$H75*AB34*(1+$BD$8)^10,$H75*AB34*(1+$BD$8)^9)</f>
        <v>0</v>
      </c>
      <c r="AC75" s="78"/>
      <c r="AD75" s="78">
        <f t="shared" si="24"/>
        <v>0</v>
      </c>
      <c r="AE75" s="78"/>
      <c r="AF75" s="327">
        <f>IF($BD$16="Yes",$H75*AF34*(1+$BD$8),$H75*AF34)</f>
        <v>0</v>
      </c>
      <c r="AG75" s="44"/>
      <c r="AH75" s="327">
        <f>IF($BD$16="Yes",$H75*AH34*(1+$BD$8)^2,$H75*AH34*(1+$BD$8))</f>
        <v>0</v>
      </c>
      <c r="AI75" s="44"/>
      <c r="AJ75" s="327">
        <f>IF($BD$16="Yes",$H75*AJ34*(1+$BD$8)^3,$H75*AJ34*(1+$BD$8)^2)</f>
        <v>0</v>
      </c>
      <c r="AK75" s="44"/>
      <c r="AL75" s="327">
        <f>IF($BD$16="Yes",$H75*AL34*(1+$BD$8)^4,$H75*AL34*(1+$BD$8)^3)</f>
        <v>0</v>
      </c>
      <c r="AM75" s="44"/>
      <c r="AN75" s="327">
        <f>IF($BD$16="Yes",$H75*AN34*(1+$BD$8)^5,$H75*AN34*(1+$BD$8)^4)</f>
        <v>0</v>
      </c>
      <c r="AO75" s="78"/>
      <c r="AP75" s="327">
        <f>IF($BD$16="Yes",$H75*AP34*(1+$BD$8)^6,$H75*AP34*(1+$BD$8)^5)</f>
        <v>0</v>
      </c>
      <c r="AR75" s="327">
        <f>IF($BD$16="Yes",$H75*AR34*(1+$BD$8)^7,$H75*AR34*(1+$BD$8)^6)</f>
        <v>0</v>
      </c>
      <c r="AS75" s="78"/>
      <c r="AT75" s="327">
        <f>IF($BD$16="Yes",$H75*AT34*(1+$BD$8)^8,$H75*AT34*(1+$BD$8)^7)</f>
        <v>0</v>
      </c>
      <c r="AU75" s="78"/>
      <c r="AV75" s="327">
        <f>IF($BD$16="Yes",$H75*AV34*(1+$BD$8)^9,$H75*AV34*(1+$BD$8)^8)</f>
        <v>0</v>
      </c>
      <c r="AW75" s="78"/>
      <c r="AX75" s="327">
        <f>IF($BD$16="Yes",$H75*AX34*(1+$BD$8)^10,$H75*AX34*(1+$BD$8)^9)</f>
        <v>0</v>
      </c>
      <c r="AY75" s="78"/>
      <c r="AZ75" s="327">
        <f t="shared" si="25"/>
        <v>0</v>
      </c>
      <c r="BF75" s="59"/>
      <c r="BJ75" s="59"/>
      <c r="BN75" s="59"/>
      <c r="BR75" s="59"/>
      <c r="BV75" s="59"/>
      <c r="BZ75" s="59"/>
      <c r="CD75" s="59"/>
      <c r="CH75" s="59"/>
      <c r="CL75" s="59"/>
      <c r="CP75" s="59"/>
    </row>
    <row r="76" spans="1:94" x14ac:dyDescent="0.25">
      <c r="A76" s="36" t="str">
        <f>A36</f>
        <v>Research Associate</v>
      </c>
      <c r="B76" s="10"/>
      <c r="C76" s="77" t="str">
        <f>C35</f>
        <v>Research Associate:</v>
      </c>
      <c r="H76" s="353">
        <f>VLOOKUP(A76,Hidden_Lookups!$A$2:$B$13,2,FALSE)</f>
        <v>0.4</v>
      </c>
      <c r="I76" s="9"/>
      <c r="J76" s="78">
        <f>IF($BD$16="Yes",$H76*J36*(1+$BD$8),$H76*J36)</f>
        <v>0</v>
      </c>
      <c r="K76" s="44"/>
      <c r="L76" s="78">
        <f>IF($BD$16="Yes",$H76*L36*(1+$BD$8)^2,$H76*L36*(1+$BD$8))</f>
        <v>0</v>
      </c>
      <c r="M76" s="44"/>
      <c r="N76" s="78">
        <f>IF($BD$16="Yes",$H76*N36*(1+$BD$8)^3,$H76*N36*(1+$BD$8)^2)</f>
        <v>0</v>
      </c>
      <c r="O76" s="44"/>
      <c r="P76" s="78">
        <f>IF($BD$16="Yes",$H76*P36*(1+$BD$8)^4,$H76*P36*(1+$BD$8)^3)</f>
        <v>0</v>
      </c>
      <c r="Q76" s="44"/>
      <c r="R76" s="78">
        <f>IF($BD$16="Yes",$H76*R36*(1+$BD$8)^5,$H76*R36*(1+$BD$8)^4)</f>
        <v>0</v>
      </c>
      <c r="S76" s="78"/>
      <c r="T76" s="78">
        <f>IF($BD$16="Yes",$H76*T36*(1+$BD$8)^6,$H76*T36*(1+$BD$8)^5)</f>
        <v>0</v>
      </c>
      <c r="V76" s="78">
        <f>IF($BD$16="Yes",$H76*V36*(1+$BD$8)^7,$H76*V36*(1+$BD$8)^6)</f>
        <v>0</v>
      </c>
      <c r="W76" s="78"/>
      <c r="X76" s="78">
        <f>IF($BD$16="Yes",$H76*X36*(1+$BD$8)^8,$H76*X36*(1+$BD$8)^7)</f>
        <v>0</v>
      </c>
      <c r="Y76" s="78"/>
      <c r="Z76" s="78">
        <f>IF($BD$16="Yes",$H76*Z36*(1+$BD$8)^9,$H76*Z36*(1+$BD$8)^8)</f>
        <v>0</v>
      </c>
      <c r="AA76" s="78"/>
      <c r="AB76" s="78">
        <f>IF($BD$16="Yes",$H76*AB36*(1+$BD$8)^10,$H76*AB36*(1+$BD$8)^9)</f>
        <v>0</v>
      </c>
      <c r="AC76" s="78"/>
      <c r="AD76" s="78">
        <f t="shared" si="24"/>
        <v>0</v>
      </c>
      <c r="AE76" s="78"/>
      <c r="AF76" s="327">
        <f>IF($BD$16="Yes",$H76*AF36*(1+$BD$8),$H76*AF36)</f>
        <v>0</v>
      </c>
      <c r="AG76" s="44"/>
      <c r="AH76" s="327">
        <f>IF($BD$16="Yes",$H76*AH36*(1+$BD$8)^2,$H76*AH36*(1+$BD$8))</f>
        <v>0</v>
      </c>
      <c r="AI76" s="44"/>
      <c r="AJ76" s="327">
        <f>IF($BD$16="Yes",$H76*AJ36*(1+$BD$8)^3,$H76*AJ36*(1+$BD$8)^2)</f>
        <v>0</v>
      </c>
      <c r="AK76" s="44"/>
      <c r="AL76" s="327">
        <f>IF($BD$16="Yes",$H76*AL36*(1+$BD$8)^4,$H76*AL36*(1+$BD$8)^3)</f>
        <v>0</v>
      </c>
      <c r="AM76" s="44"/>
      <c r="AN76" s="327">
        <f>IF($BD$16="Yes",$H76*AN36*(1+$BD$8)^5,$H76*AN36*(1+$BD$8)^4)</f>
        <v>0</v>
      </c>
      <c r="AO76" s="78"/>
      <c r="AP76" s="327">
        <f>IF($BD$16="Yes",$H76*AP36*(1+$BD$8)^6,$H76*AP36*(1+$BD$8)^5)</f>
        <v>0</v>
      </c>
      <c r="AR76" s="327">
        <f>IF($BD$16="Yes",$H76*AR36*(1+$BD$8)^7,$H76*AR36*(1+$BD$8)^6)</f>
        <v>0</v>
      </c>
      <c r="AS76" s="78"/>
      <c r="AT76" s="327">
        <f>IF($BD$16="Yes",$H76*AT36*(1+$BD$8)^8,$H76*AT36*(1+$BD$8)^7)</f>
        <v>0</v>
      </c>
      <c r="AU76" s="78"/>
      <c r="AV76" s="327">
        <f>IF($BD$16="Yes",$H76*AV36*(1+$BD$8)^9,$H76*AV36*(1+$BD$8)^8)</f>
        <v>0</v>
      </c>
      <c r="AW76" s="78"/>
      <c r="AX76" s="327">
        <f>IF($BD$16="Yes",$H76*AX36*(1+$BD$8)^10,$H76*AX36*(1+$BD$8)^9)</f>
        <v>0</v>
      </c>
      <c r="AY76" s="78"/>
      <c r="AZ76" s="327">
        <f t="shared" si="25"/>
        <v>0</v>
      </c>
      <c r="BF76" s="59"/>
      <c r="BJ76" s="59"/>
      <c r="BN76" s="59"/>
      <c r="BR76" s="59"/>
      <c r="BV76" s="59"/>
      <c r="BZ76" s="59"/>
      <c r="CD76" s="59"/>
      <c r="CH76" s="59"/>
      <c r="CL76" s="59"/>
      <c r="CP76" s="59"/>
    </row>
    <row r="77" spans="1:94" x14ac:dyDescent="0.25">
      <c r="A77" s="36" t="str">
        <f>A38</f>
        <v>Research Associate</v>
      </c>
      <c r="B77" s="10"/>
      <c r="C77" s="77" t="str">
        <f>C37</f>
        <v xml:space="preserve">Research Associate: </v>
      </c>
      <c r="H77" s="353">
        <f>VLOOKUP(A77,Hidden_Lookups!$A$2:$B$13,2,FALSE)</f>
        <v>0.4</v>
      </c>
      <c r="I77" s="9"/>
      <c r="J77" s="78">
        <f>IF($BD$16="Yes",$H77*J38*(1+$BD$8),$H77*J38)</f>
        <v>0</v>
      </c>
      <c r="K77" s="44"/>
      <c r="L77" s="78">
        <f>IF($BD$16="Yes",$H77*L38*(1+$BD$8)^2,$H77*L38*(1+$BD$8))</f>
        <v>0</v>
      </c>
      <c r="M77" s="44"/>
      <c r="N77" s="78">
        <f>IF($BD$16="Yes",$H77*N38*(1+$BD$8)^3,$H77*N38*(1+$BD$8)^2)</f>
        <v>0</v>
      </c>
      <c r="O77" s="44"/>
      <c r="P77" s="78">
        <f>IF($BD$16="Yes",$H77*P38*(1+$BD$8)^4,$H77*P38*(1+$BD$8)^3)</f>
        <v>0</v>
      </c>
      <c r="Q77" s="44"/>
      <c r="R77" s="78">
        <f>IF($BD$16="Yes",$H77*R38*(1+$BD$8)^5,$H77*R38*(1+$BD$8)^4)</f>
        <v>0</v>
      </c>
      <c r="S77" s="78"/>
      <c r="T77" s="78">
        <f>IF($BD$16="Yes",$H77*T38*(1+$BD$8)^6,$H77*T38*(1+$BD$8)^5)</f>
        <v>0</v>
      </c>
      <c r="V77" s="78">
        <f>IF($BD$16="Yes",$H77*V38*(1+$BD$8)^7,$H77*V38*(1+$BD$8)^6)</f>
        <v>0</v>
      </c>
      <c r="W77" s="78"/>
      <c r="X77" s="78">
        <f>IF($BD$16="Yes",$H77*X38*(1+$BD$8)^8,$H77*X38*(1+$BD$8)^7)</f>
        <v>0</v>
      </c>
      <c r="Y77" s="78"/>
      <c r="Z77" s="78">
        <f>IF($BD$16="Yes",$H77*Z38*(1+$BD$8)^9,$H77*Z38*(1+$BD$8)^8)</f>
        <v>0</v>
      </c>
      <c r="AA77" s="78"/>
      <c r="AB77" s="78">
        <f>IF($BD$16="Yes",$H77*AB38*(1+$BD$8)^10,$H77*AB38*(1+$BD$8)^9)</f>
        <v>0</v>
      </c>
      <c r="AC77" s="78"/>
      <c r="AD77" s="78">
        <f t="shared" si="24"/>
        <v>0</v>
      </c>
      <c r="AE77" s="78"/>
      <c r="AF77" s="327">
        <f>IF($BD$16="Yes",$H77*AF38*(1+$BD$8),$H77*AF38)</f>
        <v>0</v>
      </c>
      <c r="AG77" s="44"/>
      <c r="AH77" s="327">
        <f>IF($BD$16="Yes",$H77*AH38*(1+$BD$8)^2,$H77*AH38*(1+$BD$8))</f>
        <v>0</v>
      </c>
      <c r="AI77" s="44"/>
      <c r="AJ77" s="327">
        <f>IF($BD$16="Yes",$H77*AJ38*(1+$BD$8)^3,$H77*AJ38*(1+$BD$8)^2)</f>
        <v>0</v>
      </c>
      <c r="AK77" s="44"/>
      <c r="AL77" s="327">
        <f>IF($BD$16="Yes",$H77*AL38*(1+$BD$8)^4,$H77*AL38*(1+$BD$8)^3)</f>
        <v>0</v>
      </c>
      <c r="AM77" s="44"/>
      <c r="AN77" s="327">
        <f>IF($BD$16="Yes",$H77*AN38*(1+$BD$8)^5,$H77*AN38*(1+$BD$8)^4)</f>
        <v>0</v>
      </c>
      <c r="AO77" s="78"/>
      <c r="AP77" s="327">
        <f>IF($BD$16="Yes",$H77*AP38*(1+$BD$8)^6,$H77*AP38*(1+$BD$8)^5)</f>
        <v>0</v>
      </c>
      <c r="AR77" s="327">
        <f>IF($BD$16="Yes",$H77*AR38*(1+$BD$8)^7,$H77*AR38*(1+$BD$8)^6)</f>
        <v>0</v>
      </c>
      <c r="AS77" s="78"/>
      <c r="AT77" s="327">
        <f>IF($BD$16="Yes",$H77*AT38*(1+$BD$8)^8,$H77*AT38*(1+$BD$8)^7)</f>
        <v>0</v>
      </c>
      <c r="AU77" s="78"/>
      <c r="AV77" s="327">
        <f>IF($BD$16="Yes",$H77*AV38*(1+$BD$8)^9,$H77*AV38*(1+$BD$8)^8)</f>
        <v>0</v>
      </c>
      <c r="AW77" s="78"/>
      <c r="AX77" s="327">
        <f>IF($BD$16="Yes",$H77*AX38*(1+$BD$8)^10,$H77*AX38*(1+$BD$8)^9)</f>
        <v>0</v>
      </c>
      <c r="AY77" s="78"/>
      <c r="AZ77" s="327">
        <f t="shared" si="25"/>
        <v>0</v>
      </c>
      <c r="BF77" s="59"/>
      <c r="BJ77" s="59"/>
      <c r="BN77" s="59"/>
      <c r="BR77" s="59"/>
      <c r="BV77" s="59"/>
      <c r="BZ77" s="59"/>
      <c r="CD77" s="59"/>
      <c r="CH77" s="59"/>
      <c r="CL77" s="59"/>
      <c r="CP77" s="59"/>
    </row>
    <row r="78" spans="1:94" x14ac:dyDescent="0.25">
      <c r="A78" s="36" t="str">
        <f>A40</f>
        <v>Research Associate</v>
      </c>
      <c r="B78" s="10"/>
      <c r="C78" s="77" t="str">
        <f>C39</f>
        <v xml:space="preserve">Research Associate: </v>
      </c>
      <c r="H78" s="353">
        <f>VLOOKUP(A78,Hidden_Lookups!$A$2:$B$13,2,FALSE)</f>
        <v>0.4</v>
      </c>
      <c r="I78" s="9"/>
      <c r="J78" s="78">
        <f>IF($BD$16="Yes",$H78*J40*(1+$BD$8),$H78*J40)</f>
        <v>0</v>
      </c>
      <c r="K78" s="44"/>
      <c r="L78" s="78">
        <f>IF($BD$16="Yes",$H78*L40*(1+$BD$8)^2,$H78*L40*(1+$BD$8))</f>
        <v>0</v>
      </c>
      <c r="M78" s="44"/>
      <c r="N78" s="78">
        <f>IF($BD$16="Yes",$H78*N40*(1+$BD$8)^3,$H78*N40*(1+$BD$8)^2)</f>
        <v>0</v>
      </c>
      <c r="O78" s="44"/>
      <c r="P78" s="78">
        <f>IF($BD$16="Yes",$H78*P40*(1+$BD$8)^4,$H78*P40*(1+$BD$8)^3)</f>
        <v>0</v>
      </c>
      <c r="Q78" s="44"/>
      <c r="R78" s="78">
        <f>IF($BD$16="Yes",$H78*R40*(1+$BD$8)^5,$H78*R40*(1+$BD$8)^4)</f>
        <v>0</v>
      </c>
      <c r="S78" s="78"/>
      <c r="T78" s="78">
        <f>IF($BD$16="Yes",$H78*T40*(1+$BD$8)^6,$H78*T40*(1+$BD$8)^5)</f>
        <v>0</v>
      </c>
      <c r="V78" s="78">
        <f>IF($BD$16="Yes",$H78*V40*(1+$BD$8)^7,$H78*V40*(1+$BD$8)^6)</f>
        <v>0</v>
      </c>
      <c r="W78" s="78"/>
      <c r="X78" s="78">
        <f>IF($BD$16="Yes",$H78*X40*(1+$BD$8)^8,$H78*X40*(1+$BD$8)^7)</f>
        <v>0</v>
      </c>
      <c r="Y78" s="78"/>
      <c r="Z78" s="78">
        <f>IF($BD$16="Yes",$H78*Z40*(1+$BD$8)^9,$H78*Z40*(1+$BD$8)^8)</f>
        <v>0</v>
      </c>
      <c r="AA78" s="78"/>
      <c r="AB78" s="78">
        <f>IF($BD$16="Yes",$H78*AB40*(1+$BD$8)^10,$H78*AB40*(1+$BD$8)^9)</f>
        <v>0</v>
      </c>
      <c r="AC78" s="78"/>
      <c r="AD78" s="78">
        <f t="shared" si="24"/>
        <v>0</v>
      </c>
      <c r="AE78" s="78"/>
      <c r="AF78" s="327">
        <f>IF($BD$16="Yes",$H78*AF40*(1+$BD$8),$H78*AF40)</f>
        <v>0</v>
      </c>
      <c r="AG78" s="44"/>
      <c r="AH78" s="327">
        <f>IF($BD$16="Yes",$H78*AH40*(1+$BD$8)^2,$H78*AH40*(1+$BD$8))</f>
        <v>0</v>
      </c>
      <c r="AI78" s="44"/>
      <c r="AJ78" s="327">
        <f>IF($BD$16="Yes",$H78*AJ40*(1+$BD$8)^3,$H78*AJ40*(1+$BD$8)^2)</f>
        <v>0</v>
      </c>
      <c r="AK78" s="44"/>
      <c r="AL78" s="327">
        <f>IF($BD$16="Yes",$H78*AL40*(1+$BD$8)^4,$H78*AL40*(1+$BD$8)^3)</f>
        <v>0</v>
      </c>
      <c r="AM78" s="44"/>
      <c r="AN78" s="327">
        <f>IF($BD$16="Yes",$H78*AN40*(1+$BD$8)^5,$H78*AN40*(1+$BD$8)^4)</f>
        <v>0</v>
      </c>
      <c r="AO78" s="78"/>
      <c r="AP78" s="327">
        <f>IF($BD$16="Yes",$H78*AP40*(1+$BD$8)^6,$H78*AP40*(1+$BD$8)^5)</f>
        <v>0</v>
      </c>
      <c r="AR78" s="327">
        <f>IF($BD$16="Yes",$H78*AR40*(1+$BD$8)^7,$H78*AR40*(1+$BD$8)^6)</f>
        <v>0</v>
      </c>
      <c r="AS78" s="78"/>
      <c r="AT78" s="327">
        <f>IF($BD$16="Yes",$H78*AT40*(1+$BD$8)^8,$H78*AT40*(1+$BD$8)^7)</f>
        <v>0</v>
      </c>
      <c r="AU78" s="78"/>
      <c r="AV78" s="327">
        <f>IF($BD$16="Yes",$H78*AV40*(1+$BD$8)^9,$H78*AV40*(1+$BD$8)^8)</f>
        <v>0</v>
      </c>
      <c r="AW78" s="78"/>
      <c r="AX78" s="327">
        <f>IF($BD$16="Yes",$H78*AX40*(1+$BD$8)^10,$H78*AX40*(1+$BD$8)^9)</f>
        <v>0</v>
      </c>
      <c r="AY78" s="78"/>
      <c r="AZ78" s="327">
        <f t="shared" si="25"/>
        <v>0</v>
      </c>
      <c r="BF78" s="59"/>
      <c r="BJ78" s="59"/>
      <c r="BN78" s="59"/>
      <c r="BR78" s="59"/>
      <c r="BV78" s="59"/>
      <c r="BZ78" s="59"/>
      <c r="CD78" s="59"/>
      <c r="CH78" s="59"/>
      <c r="CL78" s="59"/>
      <c r="CP78" s="59"/>
    </row>
    <row r="79" spans="1:94" x14ac:dyDescent="0.25">
      <c r="A79" s="36" t="str">
        <f>A42</f>
        <v>Research Associate</v>
      </c>
      <c r="C79" s="77" t="str">
        <f>C41</f>
        <v xml:space="preserve">Research Associate: </v>
      </c>
      <c r="H79" s="353">
        <f>VLOOKUP(A79,Hidden_Lookups!$A$2:$B$13,2,FALSE)</f>
        <v>0.4</v>
      </c>
      <c r="I79" s="9"/>
      <c r="J79" s="78">
        <f>IF($BD$16="Yes",$H79*J42*(1+$BD$8),$H79*J42)</f>
        <v>0</v>
      </c>
      <c r="K79" s="44"/>
      <c r="L79" s="78">
        <f>IF($BD$16="Yes",$H79*L42*(1+$BD$8)^2,$H79*L42*(1+$BD$8))</f>
        <v>0</v>
      </c>
      <c r="M79" s="44"/>
      <c r="N79" s="78">
        <f>IF($BD$16="Yes",$H79*N42*(1+$BD$8)^3,$H79*N42*(1+$BD$8)^2)</f>
        <v>0</v>
      </c>
      <c r="O79" s="44"/>
      <c r="P79" s="78">
        <f>IF($BD$16="Yes",$H79*P42*(1+$BD$8)^4,$H79*P42*(1+$BD$8)^3)</f>
        <v>0</v>
      </c>
      <c r="Q79" s="44"/>
      <c r="R79" s="78">
        <f>IF($BD$16="Yes",$H79*R42*(1+$BD$8)^5,$H79*R42*(1+$BD$8)^4)</f>
        <v>0</v>
      </c>
      <c r="S79" s="78"/>
      <c r="T79" s="78">
        <f>IF($BD$16="Yes",$H79*T42*(1+$BD$8)^6,$H79*T42*(1+$BD$8)^5)</f>
        <v>0</v>
      </c>
      <c r="V79" s="78">
        <f>IF($BD$16="Yes",$H79*V42*(1+$BD$8)^7,$H79*V42*(1+$BD$8)^6)</f>
        <v>0</v>
      </c>
      <c r="W79" s="78"/>
      <c r="X79" s="78">
        <f>IF($BD$16="Yes",$H79*X42*(1+$BD$8)^8,$H79*X42*(1+$BD$8)^7)</f>
        <v>0</v>
      </c>
      <c r="Y79" s="78"/>
      <c r="Z79" s="78">
        <f>IF($BD$16="Yes",$H79*Z42*(1+$BD$8)^9,$H79*Z42*(1+$BD$8)^8)</f>
        <v>0</v>
      </c>
      <c r="AA79" s="78"/>
      <c r="AB79" s="78">
        <f>IF($BD$16="Yes",$H79*AB42*(1+$BD$8)^10,$H79*AB42*(1+$BD$8)^9)</f>
        <v>0</v>
      </c>
      <c r="AC79" s="78"/>
      <c r="AD79" s="78">
        <f t="shared" si="24"/>
        <v>0</v>
      </c>
      <c r="AE79" s="78"/>
      <c r="AF79" s="327">
        <f>IF($BD$16="Yes",$H79*AF42*(1+$BD$8),$H79*AF42)</f>
        <v>0</v>
      </c>
      <c r="AG79" s="44"/>
      <c r="AH79" s="327">
        <f>IF($BD$16="Yes",$H79*AH42*(1+$BD$8)^2,$H79*AH42*(1+$BD$8))</f>
        <v>0</v>
      </c>
      <c r="AI79" s="44"/>
      <c r="AJ79" s="327">
        <f>IF($BD$16="Yes",$H79*AJ42*(1+$BD$8)^3,$H79*AJ42*(1+$BD$8)^2)</f>
        <v>0</v>
      </c>
      <c r="AK79" s="44"/>
      <c r="AL79" s="327">
        <f>IF($BD$16="Yes",$H79*AL42*(1+$BD$8)^4,$H79*AL42*(1+$BD$8)^3)</f>
        <v>0</v>
      </c>
      <c r="AM79" s="44"/>
      <c r="AN79" s="327">
        <f>IF($BD$16="Yes",$H79*AN42*(1+$BD$8)^5,$H79*AN42*(1+$BD$8)^4)</f>
        <v>0</v>
      </c>
      <c r="AO79" s="78"/>
      <c r="AP79" s="327">
        <f>IF($BD$16="Yes",$H79*AP42*(1+$BD$8)^6,$H79*AP42*(1+$BD$8)^5)</f>
        <v>0</v>
      </c>
      <c r="AR79" s="327">
        <f>IF($BD$16="Yes",$H79*AR42*(1+$BD$8)^7,$H79*AR42*(1+$BD$8)^6)</f>
        <v>0</v>
      </c>
      <c r="AS79" s="78"/>
      <c r="AT79" s="327">
        <f>IF($BD$16="Yes",$H79*AT42*(1+$BD$8)^8,$H79*AT42*(1+$BD$8)^7)</f>
        <v>0</v>
      </c>
      <c r="AU79" s="78"/>
      <c r="AV79" s="327">
        <f>IF($BD$16="Yes",$H79*AV42*(1+$BD$8)^9,$H79*AV42*(1+$BD$8)^8)</f>
        <v>0</v>
      </c>
      <c r="AW79" s="78"/>
      <c r="AX79" s="327">
        <f>IF($BD$16="Yes",$H79*AX42*(1+$BD$8)^10,$H79*AX42*(1+$BD$8)^9)</f>
        <v>0</v>
      </c>
      <c r="AY79" s="78"/>
      <c r="AZ79" s="327">
        <f t="shared" si="25"/>
        <v>0</v>
      </c>
      <c r="BF79" s="59"/>
      <c r="BJ79" s="59"/>
      <c r="BN79" s="59"/>
      <c r="BR79" s="59"/>
      <c r="BV79" s="59"/>
      <c r="BZ79" s="59"/>
      <c r="CD79" s="59"/>
      <c r="CH79" s="59"/>
      <c r="CL79" s="59"/>
      <c r="CP79" s="59"/>
    </row>
    <row r="80" spans="1:94" x14ac:dyDescent="0.25">
      <c r="A80" s="36" t="str">
        <f>A44</f>
        <v>OEP F/T or Classified Perm</v>
      </c>
      <c r="B80" s="10"/>
      <c r="C80" s="77" t="str">
        <f>C43</f>
        <v>Administrative Assistant:</v>
      </c>
      <c r="H80" s="353">
        <f>VLOOKUP(A80,Hidden_Lookups!$A$2:$B$13,2,FALSE)</f>
        <v>0.4</v>
      </c>
      <c r="I80" s="9"/>
      <c r="J80" s="78">
        <f>IF($BD$16="Yes",$H80*J44*(1+$BD$8),$H80*J44)</f>
        <v>0</v>
      </c>
      <c r="K80" s="44"/>
      <c r="L80" s="78">
        <f>IF($BD$16="Yes",$H80*L44*(1+$BD$8)^2,$H80*L44*(1+$BD$8))</f>
        <v>0</v>
      </c>
      <c r="M80" s="44"/>
      <c r="N80" s="78">
        <f>IF($BD$16="Yes",$H80*N44*(1+$BD$8)^3,$H80*N44*(1+$BD$8)^2)</f>
        <v>0</v>
      </c>
      <c r="O80" s="44"/>
      <c r="P80" s="78">
        <f>IF($BD$16="Yes",$H80*P44*(1+$BD$8)^4,$H80*P44*(1+$BD$8)^3)</f>
        <v>0</v>
      </c>
      <c r="Q80" s="44"/>
      <c r="R80" s="78">
        <f>IF($BD$16="Yes",$H80*R44*(1+$BD$8)^5,$H80*R44*(1+$BD$8)^4)</f>
        <v>0</v>
      </c>
      <c r="S80" s="78"/>
      <c r="T80" s="78">
        <f>IF($BD$16="Yes",$H80*T44*(1+$BD$8)^6,$H80*T44*(1+$BD$8)^5)</f>
        <v>0</v>
      </c>
      <c r="V80" s="78">
        <f>IF($BD$16="Yes",$H80*V44*(1+$BD$8)^7,$H80*V44*(1+$BD$8)^6)</f>
        <v>0</v>
      </c>
      <c r="W80" s="78"/>
      <c r="X80" s="78">
        <f>IF($BD$16="Yes",$H80*X44*(1+$BD$8)^8,$H80*X44*(1+$BD$8)^7)</f>
        <v>0</v>
      </c>
      <c r="Y80" s="78"/>
      <c r="Z80" s="78">
        <f>IF($BD$16="Yes",$H80*Z44*(1+$BD$8)^9,$H80*Z44*(1+$BD$8)^8)</f>
        <v>0</v>
      </c>
      <c r="AA80" s="78"/>
      <c r="AB80" s="78">
        <f>IF($BD$16="Yes",$H80*AB44*(1+$BD$8)^10,$H80*AB44*(1+$BD$8)^9)</f>
        <v>0</v>
      </c>
      <c r="AC80" s="78"/>
      <c r="AD80" s="78">
        <f t="shared" si="24"/>
        <v>0</v>
      </c>
      <c r="AE80" s="78"/>
      <c r="AF80" s="327">
        <f>IF($BD$16="Yes",$H80*AF44*(1+$BD$8),$H80*AF44)</f>
        <v>0</v>
      </c>
      <c r="AG80" s="44"/>
      <c r="AH80" s="327">
        <f>IF($BD$16="Yes",$H80*AH44*(1+$BD$8)^2,$H80*AH44*(1+$BD$8))</f>
        <v>0</v>
      </c>
      <c r="AI80" s="44"/>
      <c r="AJ80" s="327">
        <f>IF($BD$16="Yes",$H80*AJ44*(1+$BD$8)^3,$H80*AJ44*(1+$BD$8)^2)</f>
        <v>0</v>
      </c>
      <c r="AK80" s="44"/>
      <c r="AL80" s="327">
        <f>IF($BD$16="Yes",$H80*AL44*(1+$BD$8)^4,$H80*AL44*(1+$BD$8)^3)</f>
        <v>0</v>
      </c>
      <c r="AM80" s="44"/>
      <c r="AN80" s="327">
        <f>IF($BD$16="Yes",$H80*AN44*(1+$BD$8)^5,$H80*AN44*(1+$BD$8)^4)</f>
        <v>0</v>
      </c>
      <c r="AO80" s="78"/>
      <c r="AP80" s="327">
        <f>IF($BD$16="Yes",$H80*AP44*(1+$BD$8)^6,$H80*AP44*(1+$BD$8)^5)</f>
        <v>0</v>
      </c>
      <c r="AR80" s="327">
        <f>IF($BD$16="Yes",$H80*AR44*(1+$BD$8)^7,$H80*AR44*(1+$BD$8)^6)</f>
        <v>0</v>
      </c>
      <c r="AS80" s="78"/>
      <c r="AT80" s="327">
        <f>IF($BD$16="Yes",$H80*AT44*(1+$BD$8)^8,$H80*AT44*(1+$BD$8)^7)</f>
        <v>0</v>
      </c>
      <c r="AU80" s="78"/>
      <c r="AV80" s="327">
        <f>IF($BD$16="Yes",$H80*AV44*(1+$BD$8)^9,$H80*AV44*(1+$BD$8)^8)</f>
        <v>0</v>
      </c>
      <c r="AW80" s="78"/>
      <c r="AX80" s="327">
        <f>IF($BD$16="Yes",$H80*AX44*(1+$BD$8)^10,$H80*AX44*(1+$BD$8)^9)</f>
        <v>0</v>
      </c>
      <c r="AY80" s="78"/>
      <c r="AZ80" s="327">
        <f>AF80+AH80+AJ80+AL80+AN80+AP80+AR80+AT80+AV80+AX80</f>
        <v>0</v>
      </c>
      <c r="BF80" s="59"/>
      <c r="BJ80" s="59"/>
      <c r="BN80" s="59"/>
      <c r="BR80" s="59"/>
      <c r="BV80" s="59"/>
      <c r="BZ80" s="59"/>
      <c r="CD80" s="59"/>
      <c r="CH80" s="59"/>
      <c r="CL80" s="59"/>
      <c r="CP80" s="59"/>
    </row>
    <row r="81" spans="1:94" x14ac:dyDescent="0.25">
      <c r="A81" s="36" t="str">
        <f>A46</f>
        <v>OEP F/T or Classified Perm</v>
      </c>
      <c r="B81" s="10"/>
      <c r="C81" s="77" t="str">
        <f>C45</f>
        <v>Administrative Assistant:</v>
      </c>
      <c r="H81" s="353">
        <f>VLOOKUP(A81,Hidden_Lookups!$A$2:$B$13,2,FALSE)</f>
        <v>0.4</v>
      </c>
      <c r="I81" s="9"/>
      <c r="J81" s="78">
        <f>IF($BD$16="Yes",$H81*J46*(1+$BD$8),$H81*J46)</f>
        <v>0</v>
      </c>
      <c r="K81" s="44"/>
      <c r="L81" s="78">
        <f>IF($BD$16="Yes",$H81*L46*(1+$BD$8)^2,$H81*L46*(1+$BD$8))</f>
        <v>0</v>
      </c>
      <c r="M81" s="44"/>
      <c r="N81" s="78">
        <f>IF($BD$16="Yes",$H81*N46*(1+$BD$8)^3,$H81*N46*(1+$BD$8)^2)</f>
        <v>0</v>
      </c>
      <c r="O81" s="44"/>
      <c r="P81" s="78">
        <f>IF($BD$16="Yes",$H81*P46*(1+$BD$8)^4,$H81*P46*(1+$BD$8)^3)</f>
        <v>0</v>
      </c>
      <c r="Q81" s="44"/>
      <c r="R81" s="78">
        <f>IF($BD$16="Yes",$H81*R46*(1+$BD$8)^5,$H81*R46*(1+$BD$8)^4)</f>
        <v>0</v>
      </c>
      <c r="S81" s="78"/>
      <c r="T81" s="78">
        <f>IF($BD$16="Yes",$H81*T46*(1+$BD$8)^6,$H81*T46*(1+$BD$8)^5)</f>
        <v>0</v>
      </c>
      <c r="V81" s="78">
        <f>IF($BD$16="Yes",$H81*V46*(1+$BD$8)^7,$H81*V46*(1+$BD$8)^6)</f>
        <v>0</v>
      </c>
      <c r="W81" s="78"/>
      <c r="X81" s="78">
        <f>IF($BD$16="Yes",$H81*X46*(1+$BD$8)^8,$H81*X46*(1+$BD$8)^7)</f>
        <v>0</v>
      </c>
      <c r="Y81" s="78"/>
      <c r="Z81" s="78">
        <f>IF($BD$16="Yes",$H81*Z46*(1+$BD$8)^9,$H81*Z46*(1+$BD$8)^8)</f>
        <v>0</v>
      </c>
      <c r="AA81" s="78"/>
      <c r="AB81" s="78">
        <f>IF($BD$16="Yes",$H81*AB46*(1+$BD$8)^10,$H81*AB46*(1+$BD$8)^9)</f>
        <v>0</v>
      </c>
      <c r="AC81" s="78"/>
      <c r="AD81" s="78">
        <f t="shared" si="24"/>
        <v>0</v>
      </c>
      <c r="AE81" s="78"/>
      <c r="AF81" s="327">
        <f>IF($BD$16="Yes",$H81*AF46*(1+$BD$8),$H81*AF46)</f>
        <v>0</v>
      </c>
      <c r="AG81" s="44"/>
      <c r="AH81" s="327">
        <f>IF($BD$16="Yes",$H81*AH46*(1+$BD$8)^2,$H81*AH46*(1+$BD$8))</f>
        <v>0</v>
      </c>
      <c r="AI81" s="44"/>
      <c r="AJ81" s="327">
        <f>IF($BD$16="Yes",$H81*AJ46*(1+$BD$8)^3,$H81*AJ46*(1+$BD$8)^2)</f>
        <v>0</v>
      </c>
      <c r="AK81" s="44"/>
      <c r="AL81" s="327">
        <f>IF($BD$16="Yes",$H81*AL46*(1+$BD$8)^4,$H81*AL46*(1+$BD$8)^3)</f>
        <v>0</v>
      </c>
      <c r="AM81" s="44"/>
      <c r="AN81" s="327">
        <f>IF($BD$16="Yes",$H81*AN46*(1+$BD$8)^5,$H81*AN46*(1+$BD$8)^4)</f>
        <v>0</v>
      </c>
      <c r="AO81" s="78"/>
      <c r="AP81" s="327">
        <f>IF($BD$16="Yes",$H81*AP46*(1+$BD$8)^6,$H81*AP46*(1+$BD$8)^5)</f>
        <v>0</v>
      </c>
      <c r="AR81" s="327">
        <f>IF($BD$16="Yes",$H81*AR46*(1+$BD$8)^7,$H81*AR46*(1+$BD$8)^6)</f>
        <v>0</v>
      </c>
      <c r="AS81" s="78"/>
      <c r="AT81" s="327">
        <f>IF($BD$16="Yes",$H81*AT46*(1+$BD$8)^8,$H81*AT46*(1+$BD$8)^7)</f>
        <v>0</v>
      </c>
      <c r="AU81" s="78"/>
      <c r="AV81" s="327">
        <f>IF($BD$16="Yes",$H81*AV46*(1+$BD$8)^9,$H81*AV46*(1+$BD$8)^8)</f>
        <v>0</v>
      </c>
      <c r="AW81" s="78"/>
      <c r="AX81" s="327">
        <f>IF($BD$16="Yes",$H81*AX46*(1+$BD$8)^10,$H81*AX46*(1+$BD$8)^9)</f>
        <v>0</v>
      </c>
      <c r="AY81" s="78"/>
      <c r="AZ81" s="327">
        <f t="shared" si="25"/>
        <v>0</v>
      </c>
      <c r="BF81" s="59"/>
      <c r="BJ81" s="59"/>
      <c r="BN81" s="59"/>
      <c r="BR81" s="59"/>
      <c r="BV81" s="59"/>
      <c r="BZ81" s="59"/>
      <c r="CD81" s="59"/>
      <c r="CH81" s="59"/>
      <c r="CL81" s="59"/>
      <c r="CP81" s="59"/>
    </row>
    <row r="82" spans="1:94" x14ac:dyDescent="0.25">
      <c r="A82" s="36" t="str">
        <f>A48</f>
        <v>Graduate Research Assistant</v>
      </c>
      <c r="C82" s="77" t="str">
        <f>C47</f>
        <v>Graduate Research Assistant</v>
      </c>
      <c r="H82" s="353">
        <f>VLOOKUP(A82,Hidden_Lookups!$A$2:$B$13,2,FALSE)</f>
        <v>0.114</v>
      </c>
      <c r="I82" s="9"/>
      <c r="J82" s="78">
        <f>IF($BD$16="Yes",$H82*SUM(J48:J49)*(1+$BD$8), $H82*SUM(J48:J49))</f>
        <v>0</v>
      </c>
      <c r="K82" s="44"/>
      <c r="L82" s="78">
        <f>IF($BD$16="Yes",$H82*SUM(L48:L49)*(1+$BD$8)^2, $H82*SUM(L48:L49)*(1+$BD$8))</f>
        <v>0</v>
      </c>
      <c r="M82" s="44"/>
      <c r="N82" s="78">
        <f>IF($BD$16="Yes",$H82*SUM(N48:N49)*(1+$BD$8)^3, $H82*SUM(N48:N49)*(1+$BD$8)^2)</f>
        <v>0</v>
      </c>
      <c r="O82" s="44"/>
      <c r="P82" s="78">
        <f>IF($BD$16="Yes",$H$82*SUM(P48:P49)*(1+$BD$8)^4, $H82*SUM(P48:P49)*(1+$BD$8)^3)</f>
        <v>0</v>
      </c>
      <c r="Q82" s="44"/>
      <c r="R82" s="78">
        <f>IF($BD$16="Yes",$H82*SUM(R48:R49)*(1+$BD$8)^5, $H82*SUM(R48:R49)*(1+$BD$8)^4)</f>
        <v>0</v>
      </c>
      <c r="S82" s="78"/>
      <c r="T82" s="78">
        <f>IF($BD$16="Yes",$H82*SUM(T48:T49)*(1+$BD$8)^6, $H82*SUM(T48:T49)*(1+$BD$8)^5)</f>
        <v>0</v>
      </c>
      <c r="V82" s="78">
        <f>IF($BD$16="Yes",$H82*SUM(V48:V49)*(1+$BD$8)^7, $H82*SUM(V48:V49)*(1+$BD$8)^6)</f>
        <v>0</v>
      </c>
      <c r="W82" s="78"/>
      <c r="X82" s="78">
        <f>IF($BD$16="Yes",$H82*SUM(X48:X49)*(1+$BD$8)^8, $H82*SUM(X48:X49)*(1+$BD$8)^7)</f>
        <v>0</v>
      </c>
      <c r="Y82" s="78"/>
      <c r="Z82" s="78">
        <f>IF($BD$16="Yes",$H82*SUM(Z48:Z49)*(1+$BD$8)^9, $H82*SUM(Z48:Z49)*(1+$BD$8)^8)</f>
        <v>0</v>
      </c>
      <c r="AA82" s="78"/>
      <c r="AB82" s="78">
        <f>IF($BD$16="Yes",$H82*SUM(AB48:AB49)*(1+$BD$8)^10, $H82*SUM(AB48:AB49)*(1+$BD$8)^9)</f>
        <v>0</v>
      </c>
      <c r="AC82" s="78"/>
      <c r="AD82" s="78">
        <f t="shared" si="24"/>
        <v>0</v>
      </c>
      <c r="AE82" s="78"/>
      <c r="AF82" s="327">
        <f>IF($BD$16="Yes",$H82*SUM(AF48:AF49)*(1+$BD$8), $H82*SUM(AF48:AF49))</f>
        <v>0</v>
      </c>
      <c r="AG82" s="44"/>
      <c r="AH82" s="327">
        <f>IF($BD$16="Yes",$H82*SUM(AH48:AH49)*(1+$BD$8)^2, $H82*SUM(AH48:AH49)*(1+$BD$8))</f>
        <v>0</v>
      </c>
      <c r="AI82" s="44"/>
      <c r="AJ82" s="327">
        <f>IF($BD$16="Yes",$H82*SUM(AJ48:AJ49)*(1+$BD$8)^3, $H82*SUM(AJ48:AJ49)*(1+$BD$8)^2)</f>
        <v>0</v>
      </c>
      <c r="AK82" s="44"/>
      <c r="AL82" s="327">
        <f>IF($BD$16="Yes",$H$82*SUM(AL48:AL49)*(1+$BD$8)^4, $H82*SUM(AL48:AL49)*(1+$BD$8)^3)</f>
        <v>0</v>
      </c>
      <c r="AM82" s="44"/>
      <c r="AN82" s="327">
        <f>IF($BD$16="Yes",$H82*SUM(AN48:AN49)*(1+$BD$8)^5, $H82*SUM(AN48:AN49)*(1+$BD$8)^4)</f>
        <v>0</v>
      </c>
      <c r="AO82" s="78"/>
      <c r="AP82" s="327">
        <f>IF($BD$16="Yes",$H82*SUM(AP48:AP49)*(1+$BD$8)^6, $H82*SUM(AP48:AP49)*(1+$BD$8)^5)</f>
        <v>0</v>
      </c>
      <c r="AR82" s="327">
        <f>IF($BD$16="Yes",$H82*SUM(AR48:AR49)*(1+$BD$8)^7, $H82*SUM(AR48:AR49)*(1+$BD$8)^6)</f>
        <v>0</v>
      </c>
      <c r="AS82" s="78"/>
      <c r="AT82" s="327">
        <f>IF($BD$16="Yes",$H82*SUM(AT48:AT49)*(1+$BD$8)^8, $H82*SUM(AT48:AT49)*(1+$BD$8)^7)</f>
        <v>0</v>
      </c>
      <c r="AU82" s="78"/>
      <c r="AV82" s="327">
        <f>IF($BD$16="Yes",$H82*SUM(AV48:AV49)*(1+$BD$8)^9, $H82*SUM(AV48:AV49)*(1+$BD$8)^8)</f>
        <v>0</v>
      </c>
      <c r="AW82" s="78"/>
      <c r="AX82" s="327">
        <f>IF($BD$16="Yes",$H82*SUM(AX48:AX49)*(1+$BD$8)^10, $H82*SUM(AX48:AX49)*(1+$BD$8)^9)</f>
        <v>0</v>
      </c>
      <c r="AY82" s="78"/>
      <c r="AZ82" s="327">
        <f t="shared" si="25"/>
        <v>0</v>
      </c>
      <c r="BF82" s="59"/>
      <c r="BJ82" s="59"/>
      <c r="BN82" s="59"/>
      <c r="BR82" s="59"/>
      <c r="BV82" s="59"/>
      <c r="BZ82" s="59"/>
      <c r="CD82" s="59"/>
      <c r="CH82" s="59"/>
      <c r="CL82" s="59"/>
      <c r="CP82" s="59"/>
    </row>
    <row r="83" spans="1:94" x14ac:dyDescent="0.25">
      <c r="A83" s="36" t="str">
        <f>A51</f>
        <v>Graduate Research Assistant</v>
      </c>
      <c r="C83" s="77" t="str">
        <f>C50</f>
        <v>Graduate Research Assistant</v>
      </c>
      <c r="H83" s="353">
        <f>VLOOKUP(A83,Hidden_Lookups!$A$2:$B$13,2,FALSE)</f>
        <v>0.114</v>
      </c>
      <c r="I83" s="9"/>
      <c r="J83" s="78">
        <f>IF($BD$16="Yes",$H83*SUM(J51:J52)*(1+$BD$8), $H83*SUM(J51:J52))</f>
        <v>0</v>
      </c>
      <c r="K83" s="44"/>
      <c r="L83" s="78">
        <f>IF($BD$16="Yes",$H83*SUM(L51:L52)*(1+$BD$8)^2, $H83*SUM(L51:L52)*(1+$BD$8))</f>
        <v>0</v>
      </c>
      <c r="M83" s="44"/>
      <c r="N83" s="78">
        <f>IF($BD$16="Yes",$H83*SUM(N51:N52)*(1+$BD$8)^3, $H83*SUM(N51:N52)*(1+$BD$8)^2)</f>
        <v>0</v>
      </c>
      <c r="O83" s="44"/>
      <c r="P83" s="78">
        <f>IF($BD$16="Yes",$H$83*SUM(P51:P52)*(1+$BD$8)^4, $H83*SUM(P51:P52)*(1+$BD$8)^3)</f>
        <v>0</v>
      </c>
      <c r="Q83" s="44"/>
      <c r="R83" s="78">
        <f>IF($BD$16="Yes",$H83*SUM(R51:R52)*(1+$BD$8)^5, $H83*SUM(R51:R52)*(1+$BD$8)^4)</f>
        <v>0</v>
      </c>
      <c r="S83" s="78"/>
      <c r="T83" s="78">
        <f>IF($BD$16="Yes",$H83*SUM(T51:T52)*(1+$BD$8)^6, $H83*SUM(T51:T52)*(1+$BD$8)^5)</f>
        <v>0</v>
      </c>
      <c r="V83" s="78">
        <f>IF($BD$16="Yes",$H83*SUM(V51:V52)*(1+$BD$8)^7, $H83*SUM(V51:V52)*(1+$BD$8)^6)</f>
        <v>0</v>
      </c>
      <c r="W83" s="78"/>
      <c r="X83" s="78">
        <f>IF($BD$16="Yes",$H83*SUM(X51:X52)*(1+$BD$8)^8, $H83*SUM(X51:X52)*(1+$BD$8)^7)</f>
        <v>0</v>
      </c>
      <c r="Y83" s="78"/>
      <c r="Z83" s="78">
        <f>IF($BD$16="Yes",$H83*SUM(Z51:Z52)*(1+$BD$8)^9, $H83*SUM(Z51:Z52)*(1+$BD$8)^8)</f>
        <v>0</v>
      </c>
      <c r="AA83" s="78"/>
      <c r="AB83" s="78">
        <f>IF($BD$16="Yes",$H83*SUM(AB51:AB52)*(1+$BD$8)^10, $H83*SUM(AB51:AB52)*(1+$BD$8)^9)</f>
        <v>0</v>
      </c>
      <c r="AC83" s="78"/>
      <c r="AD83" s="78">
        <f t="shared" si="24"/>
        <v>0</v>
      </c>
      <c r="AE83" s="78"/>
      <c r="AF83" s="327">
        <f>IF($BD$16="Yes",$H83*SUM(AF51:AF52)*(1+$BD$8), $H83*SUM(AF51:AF52))</f>
        <v>0</v>
      </c>
      <c r="AG83" s="44"/>
      <c r="AH83" s="327">
        <f>IF($BD$16="Yes",$H83*SUM(AH51:AH52)*(1+$BD$8)^2, $H83*SUM(AH51:AH52)*(1+$BD$8))</f>
        <v>0</v>
      </c>
      <c r="AI83" s="44"/>
      <c r="AJ83" s="327">
        <f>IF($BD$16="Yes",$H83*SUM(AJ51:AJ52)*(1+$BD$8)^3, $H83*SUM(AJ51:AJ52)*(1+$BD$8)^2)</f>
        <v>0</v>
      </c>
      <c r="AK83" s="44"/>
      <c r="AL83" s="327">
        <f>IF($BD$16="Yes",$H$83*SUM(AL51:AL52)*(1+$BD$8)^4, $H83*SUM(AL51:AL52)*(1+$BD$8)^3)</f>
        <v>0</v>
      </c>
      <c r="AM83" s="44"/>
      <c r="AN83" s="327">
        <f>IF($BD$16="Yes",$H83*SUM(AN51:AN52)*(1+$BD$8)^5, $H83*SUM(AN51:AN52)*(1+$BD$8)^4)</f>
        <v>0</v>
      </c>
      <c r="AO83" s="78"/>
      <c r="AP83" s="327">
        <f>IF($BD$16="Yes",$H83*SUM(AP51:AP52)*(1+$BD$8)^6, $H83*SUM(AP51:AP52)*(1+$BD$8)^5)</f>
        <v>0</v>
      </c>
      <c r="AR83" s="327">
        <f>IF($BD$16="Yes",$H83*SUM(AR51:AR52)*(1+$BD$8)^7, $H83*SUM(AR51:AR52)*(1+$BD$8)^6)</f>
        <v>0</v>
      </c>
      <c r="AS83" s="78"/>
      <c r="AT83" s="327">
        <f>IF($BD$16="Yes",$H83*SUM(AT51:AT52)*(1+$BD$8)^8, $H83*SUM(AT51:AT52)*(1+$BD$8)^7)</f>
        <v>0</v>
      </c>
      <c r="AU83" s="78"/>
      <c r="AV83" s="327">
        <f>IF($BD$16="Yes",$H83*SUM(AV51:AV52)*(1+$BD$8)^9, $H83*SUM(AV51:AV52)*(1+$BD$8)^8)</f>
        <v>0</v>
      </c>
      <c r="AW83" s="78"/>
      <c r="AX83" s="327">
        <f>IF($BD$16="Yes",$H83*SUM(AX51:AX52)*(1+$BD$8)^10, $H83*SUM(AX51:AX52)*(1+$BD$8)^9)</f>
        <v>0</v>
      </c>
      <c r="AY83" s="78"/>
      <c r="AZ83" s="327">
        <f t="shared" si="25"/>
        <v>0</v>
      </c>
      <c r="BF83" s="59"/>
      <c r="BJ83" s="59"/>
      <c r="BN83" s="59"/>
      <c r="BR83" s="59"/>
      <c r="BV83" s="59"/>
      <c r="BZ83" s="59"/>
      <c r="CD83" s="59"/>
      <c r="CH83" s="59"/>
      <c r="CL83" s="59"/>
      <c r="CP83" s="59"/>
    </row>
    <row r="84" spans="1:94" x14ac:dyDescent="0.25">
      <c r="A84" s="36" t="str">
        <f>A54</f>
        <v>Graduate Research Assistant</v>
      </c>
      <c r="C84" s="77" t="str">
        <f>C53</f>
        <v>Graduate Research Assistant</v>
      </c>
      <c r="H84" s="353">
        <f>VLOOKUP(A84,Hidden_Lookups!$A$2:$B$13,2,FALSE)</f>
        <v>0.114</v>
      </c>
      <c r="I84" s="9"/>
      <c r="J84" s="78">
        <f>IF($BD$16="Yes",$H84*SUM(J54:J55)*(1+$BD$8), $H84*SUM(J54:J55))</f>
        <v>0</v>
      </c>
      <c r="K84" s="44"/>
      <c r="L84" s="78">
        <f>IF($BD$16="Yes",$H84*SUM(L54:L55)*(1+$BD$8)^2, $H84*SUM(L54:L55)*(1+$BD$8))</f>
        <v>0</v>
      </c>
      <c r="M84" s="44"/>
      <c r="N84" s="78">
        <f>IF($BD$16="Yes",$H84*SUM(N54:N55)*(1+$BD$8)^3, $H84*SUM(N54:N55)*(1+$BD$8)^2)</f>
        <v>0</v>
      </c>
      <c r="O84" s="44"/>
      <c r="P84" s="78">
        <f>IF($BD$16="Yes",$H$84*SUM(P54:P55)*(1+$BD$8)^4, $H84*SUM(P54:P55)*(1+$BD$8)^3)</f>
        <v>0</v>
      </c>
      <c r="Q84" s="44"/>
      <c r="R84" s="78">
        <f>IF($BD$16="Yes",$H84*SUM(R54:R55)*(1+$BD$8)^5, $H84*SUM(R54:R55)*(1+$BD$8)^4)</f>
        <v>0</v>
      </c>
      <c r="S84" s="78"/>
      <c r="T84" s="78">
        <f>IF($BD$16="Yes",$H84*SUM(T54:T55)*(1+$BD$8)^6, $H84*SUM(T54:T55)*(1+$BD$8)^5)</f>
        <v>0</v>
      </c>
      <c r="V84" s="78">
        <f>IF($BD$16="Yes",$H84*SUM(V54:V55)*(1+$BD$8)^7, $H84*SUM(V54:V55)*(1+$BD$8)^6)</f>
        <v>0</v>
      </c>
      <c r="W84" s="78"/>
      <c r="X84" s="78">
        <f>IF($BD$16="Yes",$H84*SUM(X54:X55)*(1+$BD$8)^8, $H84*SUM(X54:X55)*(1+$BD$8)^7)</f>
        <v>0</v>
      </c>
      <c r="Y84" s="78"/>
      <c r="Z84" s="78">
        <f>IF($BD$16="Yes",$H84*SUM(Z54:Z55)*(1+$BD$8)^9, $H84*SUM(Z54:Z55)*(1+$BD$8)^8)</f>
        <v>0</v>
      </c>
      <c r="AA84" s="78"/>
      <c r="AB84" s="78">
        <f>IF($BD$16="Yes",$H84*SUM(AB54:AB55)*(1+$BD$8)^10, $H84*SUM(AB54:AB55)*(1+$BD$8)^9)</f>
        <v>0</v>
      </c>
      <c r="AC84" s="78"/>
      <c r="AD84" s="78">
        <f t="shared" si="24"/>
        <v>0</v>
      </c>
      <c r="AE84" s="78"/>
      <c r="AF84" s="327">
        <f>IF($BD$16="Yes",$H84*SUM(AF54:AF55)*(1+$BD$8), $H84*SUM(AF54:AF55))</f>
        <v>0</v>
      </c>
      <c r="AG84" s="44"/>
      <c r="AH84" s="327">
        <f>IF($BD$16="Yes",$H84*SUM(AH54:AH55)*(1+$BD$8)^2, $H84*SUM(AH54:AH55)*(1+$BD$8))</f>
        <v>0</v>
      </c>
      <c r="AI84" s="44"/>
      <c r="AJ84" s="327">
        <f>IF($BD$16="Yes",$H84*SUM(AJ54:AJ55)*(1+$BD$8)^3, $H84*SUM(AJ54:AJ55)*(1+$BD$8)^2)</f>
        <v>0</v>
      </c>
      <c r="AK84" s="44"/>
      <c r="AL84" s="327">
        <f>IF($BD$16="Yes",$H$84*SUM(AL54:AL55)*(1+$BD$8)^4, $H84*SUM(AL54:AL55)*(1+$BD$8)^3)</f>
        <v>0</v>
      </c>
      <c r="AM84" s="44"/>
      <c r="AN84" s="327">
        <f>IF($BD$16="Yes",$H84*SUM(AN54:AN55)*(1+$BD$8)^5, $H84*SUM(AN54:AN55)*(1+$BD$8)^4)</f>
        <v>0</v>
      </c>
      <c r="AO84" s="78"/>
      <c r="AP84" s="327">
        <f>IF($BD$16="Yes",$H84*SUM(AP54:AP55)*(1+$BD$8)^6, $H84*SUM(AP54:AP55)*(1+$BD$8)^5)</f>
        <v>0</v>
      </c>
      <c r="AR84" s="327">
        <f>IF($BD$16="Yes",$H84*SUM(AR54:AR55)*(1+$BD$8)^7, $H84*SUM(AR54:AR55)*(1+$BD$8)^6)</f>
        <v>0</v>
      </c>
      <c r="AS84" s="78"/>
      <c r="AT84" s="327">
        <f>IF($BD$16="Yes",$H84*SUM(AT54:AT55)*(1+$BD$8)^8, $H84*SUM(AT54:AT55)*(1+$BD$8)^7)</f>
        <v>0</v>
      </c>
      <c r="AU84" s="78"/>
      <c r="AV84" s="327">
        <f>IF($BD$16="Yes",$H84*SUM(AV54:AV55)*(1+$BD$8)^9, $H84*SUM(AV54:AV55)*(1+$BD$8)^8)</f>
        <v>0</v>
      </c>
      <c r="AW84" s="78"/>
      <c r="AX84" s="327">
        <f>IF($BD$16="Yes",$H84*SUM(AX54:AX55)*(1+$BD$8)^10, $H84*SUM(AX54:AX55)*(1+$BD$8)^9)</f>
        <v>0</v>
      </c>
      <c r="AY84" s="78"/>
      <c r="AZ84" s="327">
        <f t="shared" si="25"/>
        <v>0</v>
      </c>
      <c r="BF84" s="59"/>
      <c r="BJ84" s="59"/>
      <c r="BN84" s="59"/>
      <c r="BR84" s="59"/>
      <c r="BV84" s="59"/>
      <c r="BZ84" s="59"/>
      <c r="CD84" s="59"/>
      <c r="CH84" s="59"/>
      <c r="CL84" s="59"/>
      <c r="CP84" s="59"/>
    </row>
    <row r="85" spans="1:94" x14ac:dyDescent="0.25">
      <c r="A85" s="36" t="str">
        <f>A57</f>
        <v>Graduate Research Assistant</v>
      </c>
      <c r="C85" s="77" t="str">
        <f>C56</f>
        <v>Graduate Research Assistant</v>
      </c>
      <c r="H85" s="353">
        <f>VLOOKUP(A85,Hidden_Lookups!$A$2:$B$13,2,FALSE)</f>
        <v>0.114</v>
      </c>
      <c r="I85" s="9"/>
      <c r="J85" s="78">
        <f>IF($BD$16="Yes",$H85*SUM(J57:J58)*(1+$BD$8), $H85*SUM(J57:J58))</f>
        <v>0</v>
      </c>
      <c r="K85" s="44"/>
      <c r="L85" s="78">
        <f>IF($BD$16="Yes",$H85*SUM(L57:L58)*(1+$BD$8)^2, $H85*SUM(L57:L58)*(1+$BD$8))</f>
        <v>0</v>
      </c>
      <c r="M85" s="44"/>
      <c r="N85" s="78">
        <f>IF($BD$16="Yes",$H85*SUM(N57:N58)*(1+$BD$8)^3, $H85*SUM(N57:N58)*(1+$BD$8)^2)</f>
        <v>0</v>
      </c>
      <c r="O85" s="44"/>
      <c r="P85" s="78">
        <f>IF($BD$16="Yes",$H$85*SUM(P57:P58)*(1+$BD$8)^4, $H85*SUM(P57:P58)*(1+$BD$8)^3)</f>
        <v>0</v>
      </c>
      <c r="Q85" s="44"/>
      <c r="R85" s="78">
        <f>IF($BD$16="Yes",$H85*SUM(R57:R58)*(1+$BD$8)^5, $H85*SUM(R57:R58)*(1+$BD$8)^4)</f>
        <v>0</v>
      </c>
      <c r="S85" s="78"/>
      <c r="T85" s="78">
        <f>IF($BD$16="Yes",$H85*SUM(T57:T58)*(1+$BD$8)^6, $H85*SUM(T57:T58)*(1+$BD$8)^5)</f>
        <v>0</v>
      </c>
      <c r="V85" s="78">
        <f>IF($BD$16="Yes",$H85*SUM(V57:V58)*(1+$BD$8)^7, $H85*SUM(V57:V58)*(1+$BD$8)^6)</f>
        <v>0</v>
      </c>
      <c r="W85" s="78"/>
      <c r="X85" s="78">
        <f>IF($BD$16="Yes",$H85*SUM(X57:X58)*(1+$BD$8)^8, $H85*SUM(X57:X58)*(1+$BD$8)^7)</f>
        <v>0</v>
      </c>
      <c r="Y85" s="78"/>
      <c r="Z85" s="78">
        <f>IF($BD$16="Yes",$H85*SUM(Z57:Z58)*(1+$BD$8)^9, $H85*SUM(Z57:Z58)*(1+$BD$8)^8)</f>
        <v>0</v>
      </c>
      <c r="AA85" s="78"/>
      <c r="AB85" s="78">
        <f>IF($BD$16="Yes",$H85*SUM(AB57:AB58)*(1+$BD$8)^10, $H85*SUM(AB57:AB58)*(1+$BD$8)^9)</f>
        <v>0</v>
      </c>
      <c r="AC85" s="78"/>
      <c r="AD85" s="78">
        <f t="shared" si="24"/>
        <v>0</v>
      </c>
      <c r="AE85" s="78"/>
      <c r="AF85" s="327">
        <f>IF($BD$16="Yes",$H85*SUM(AF57:AF58)*(1+$BD$8), $H85*SUM(AF57:AF58))</f>
        <v>0</v>
      </c>
      <c r="AG85" s="44"/>
      <c r="AH85" s="327">
        <f>IF($BD$16="Yes",$H85*SUM(AH57:AH58)*(1+$BD$8)^2, $H85*SUM(AH57:AH58)*(1+$BD$8))</f>
        <v>0</v>
      </c>
      <c r="AI85" s="44"/>
      <c r="AJ85" s="327">
        <f>IF($BD$16="Yes",$H85*SUM(AJ57:AJ58)*(1+$BD$8)^3, $H85*SUM(AJ57:AJ58)*(1+$BD$8)^2)</f>
        <v>0</v>
      </c>
      <c r="AK85" s="44"/>
      <c r="AL85" s="327">
        <f>IF($BD$16="Yes",$H$85*SUM(AL57:AL58)*(1+$BD$8)^4, $H85*SUM(AL57:AL58)*(1+$BD$8)^3)</f>
        <v>0</v>
      </c>
      <c r="AM85" s="44"/>
      <c r="AN85" s="327">
        <f>IF($BD$16="Yes",$H85*SUM(AN57:AN58)*(1+$BD$8)^5, $H85*SUM(AN57:AN58)*(1+$BD$8)^4)</f>
        <v>0</v>
      </c>
      <c r="AO85" s="78"/>
      <c r="AP85" s="327">
        <f>IF($BD$16="Yes",$H85*SUM(AP57:AP58)*(1+$BD$8)^6, $H85*SUM(AP57:AP58)*(1+$BD$8)^5)</f>
        <v>0</v>
      </c>
      <c r="AR85" s="327">
        <f>IF($BD$16="Yes",$H85*SUM(AR57:AR58)*(1+$BD$8)^7, $H85*SUM(AR57:AR58)*(1+$BD$8)^6)</f>
        <v>0</v>
      </c>
      <c r="AS85" s="78"/>
      <c r="AT85" s="327">
        <f>IF($BD$16="Yes",$H85*SUM(AT57:AT58)*(1+$BD$8)^8, $H85*SUM(AT57:AT58)*(1+$BD$8)^7)</f>
        <v>0</v>
      </c>
      <c r="AU85" s="78"/>
      <c r="AV85" s="327">
        <f>IF($BD$16="Yes",$H85*SUM(AV57:AV58)*(1+$BD$8)^9, $H85*SUM(AV57:AV58)*(1+$BD$8)^8)</f>
        <v>0</v>
      </c>
      <c r="AW85" s="78"/>
      <c r="AX85" s="327">
        <f>IF($BD$16="Yes",$H85*SUM(AX57:AX58)*(1+$BD$8)^10, $H85*SUM(AX57:AX58)*(1+$BD$8)^9)</f>
        <v>0</v>
      </c>
      <c r="AY85" s="78"/>
      <c r="AZ85" s="327">
        <f t="shared" si="25"/>
        <v>0</v>
      </c>
      <c r="BF85" s="59"/>
      <c r="BJ85" s="59"/>
      <c r="BN85" s="59"/>
      <c r="BR85" s="59"/>
      <c r="BV85" s="59"/>
      <c r="BZ85" s="59"/>
      <c r="CD85" s="59"/>
      <c r="CH85" s="59"/>
      <c r="CL85" s="59"/>
      <c r="CP85" s="59"/>
    </row>
    <row r="86" spans="1:94" x14ac:dyDescent="0.25">
      <c r="A86" s="36" t="str">
        <f>A60</f>
        <v>Hourly</v>
      </c>
      <c r="B86" s="10"/>
      <c r="C86" s="77" t="s">
        <v>32</v>
      </c>
      <c r="H86" s="353">
        <f>VLOOKUP(A86,Hidden_Lookups!$A$2:$B$13,2,FALSE)</f>
        <v>1.7999999999999999E-2</v>
      </c>
      <c r="I86" s="9"/>
      <c r="J86" s="78">
        <f>IF($BD$16="Yes",$H86*SUM(J60:J64)*(1+$BD$8), $H86*SUM(J60:J64))</f>
        <v>0</v>
      </c>
      <c r="K86" s="44"/>
      <c r="L86" s="78">
        <f>IF($BD$16="Yes",$H86*SUM(L60:L64)*(1+$BD$8)^2, $H86*SUM(L60:L64)*(1+$BD$8))</f>
        <v>0</v>
      </c>
      <c r="M86" s="44"/>
      <c r="N86" s="78">
        <f>IF($BD$16="Yes",$H86*SUM(N60:N64)*(1+$BD$8)^3, $H86*SUM(N60:N64)*(1+$BD$8)^2)</f>
        <v>0</v>
      </c>
      <c r="O86" s="44"/>
      <c r="P86" s="78">
        <f>IF($BD$16="Yes",$H$86*SUM(P60:P64)*(1+$BD$8)^4, $H86*SUM(P60:P64)*(1+$BD$8)^3)</f>
        <v>0</v>
      </c>
      <c r="Q86" s="44"/>
      <c r="R86" s="78">
        <f>IF($BD$16="Yes",$H86*SUM(R60:R64)*(1+$BD$8)^5, $H86*SUM(R60:R64)*(1+$BD$8)^4)</f>
        <v>0</v>
      </c>
      <c r="S86" s="78"/>
      <c r="T86" s="78">
        <f>IF($BD$16="Yes",$H86*SUM(T60:T64)*(1+$BD$8)^6, $H86*SUM(T60:T64)*(1+$BD$8)^5)</f>
        <v>0</v>
      </c>
      <c r="V86" s="78">
        <f>IF($BD$16="Yes",$H86*SUM(V60:V64)*(1+$BD$8)^7, $H86*SUM(V60:V64)*(1+$BD$8)^6)</f>
        <v>0</v>
      </c>
      <c r="W86" s="78"/>
      <c r="X86" s="78">
        <f>IF($BD$16="Yes",$H86*SUM(X60:X64)*(1+$BD$8)^8, $H86*SUM(X60:X64)*(1+$BD$8)^7)</f>
        <v>0</v>
      </c>
      <c r="Y86" s="78"/>
      <c r="Z86" s="78">
        <f>IF($BD$16="Yes",$H86*SUM(Z60:Z64)*(1+$BD$8)^9, $H86*SUM(Z60:Z64)*(1+$BD$8)^8)</f>
        <v>0</v>
      </c>
      <c r="AA86" s="78"/>
      <c r="AB86" s="78">
        <f>IF($BD$16="Yes",$H86*SUM(AB60:AB64)*(1+$BD$8)^10, $H86*SUM(AB60:AB64)*(1+$BD$8)^9)</f>
        <v>0</v>
      </c>
      <c r="AC86" s="78"/>
      <c r="AD86" s="11">
        <f>J86+L86+N86+P86+R86+T86+V86+X86+Z86+AB86</f>
        <v>0</v>
      </c>
      <c r="AE86" s="78"/>
      <c r="AF86" s="327">
        <f>IF($BD$16="Yes",$H86*SUM(AF60:AF64)*(1+$BD$8), $H86*SUM(AF60:AF64))</f>
        <v>0</v>
      </c>
      <c r="AG86" s="44"/>
      <c r="AH86" s="327">
        <f>IF($BD$16="Yes",$H86*SUM(AH60:AH64)*(1+$BD$8)^2, $H86*SUM(AH60:AH64)*(1+$BD$8))</f>
        <v>0</v>
      </c>
      <c r="AI86" s="44"/>
      <c r="AJ86" s="327">
        <f>IF($BD$16="Yes",$H86*SUM(AJ60:AJ64)*(1+$BD$8)^3, $H86*SUM(AJ60:AJ64)*(1+$BD$8)^2)</f>
        <v>0</v>
      </c>
      <c r="AK86" s="44"/>
      <c r="AL86" s="327">
        <f>IF($BD$16="Yes",$H$86*SUM(AL60:AL64)*(1+$BD$8)^4, $H86*SUM(AL60:AL64)*(1+$BD$8)^3)</f>
        <v>0</v>
      </c>
      <c r="AM86" s="44"/>
      <c r="AN86" s="327">
        <f>IF($BD$16="Yes",$H86*SUM(AN60:AN64)*(1+$BD$8)^5, $H86*SUM(AN60:AN64)*(1+$BD$8)^4)</f>
        <v>0</v>
      </c>
      <c r="AO86" s="78"/>
      <c r="AP86" s="327">
        <f>IF($BD$16="Yes",$H86*SUM(AP60:AP64)*(1+$BD$8)^6, $H86*SUM(AP60:AP64)*(1+$BD$8)^5)</f>
        <v>0</v>
      </c>
      <c r="AR86" s="327">
        <f>IF($BD$16="Yes",$H86*SUM(AR60:AR64)*(1+$BD$8)^7, $H86*SUM(AR60:AR64)*(1+$BD$8)^6)</f>
        <v>0</v>
      </c>
      <c r="AS86" s="78"/>
      <c r="AT86" s="327">
        <f>IF($BD$16="Yes",$H86*SUM(AT60:AT64)*(1+$BD$8)^8, $H86*SUM(AT60:AT64)*(1+$BD$8)^7)</f>
        <v>0</v>
      </c>
      <c r="AU86" s="78"/>
      <c r="AV86" s="327">
        <f>IF($BD$16="Yes",$H86*SUM(AV60:AV64)*(1+$BD$8)^9, $H86*SUM(AV60:AV64)*(1+$BD$8)^8)</f>
        <v>0</v>
      </c>
      <c r="AW86" s="78"/>
      <c r="AX86" s="327">
        <f>IF($BD$16="Yes",$H86*SUM(AX60:AX64)*(1+$BD$8)^10, $H86*SUM(AX60:AX64)*(1+$BD$8)^9)</f>
        <v>0</v>
      </c>
      <c r="AY86" s="78"/>
      <c r="AZ86" s="338">
        <f>AF86+AH86+AJ86+AL86+AN86+AP86+AR86+AT86+AV86+AX86</f>
        <v>0</v>
      </c>
      <c r="BF86" s="59"/>
      <c r="BJ86" s="59"/>
      <c r="BN86" s="59"/>
      <c r="BR86" s="59"/>
      <c r="BV86" s="59"/>
      <c r="BZ86" s="59"/>
      <c r="CD86" s="59"/>
      <c r="CH86" s="59"/>
      <c r="CL86" s="59"/>
      <c r="CP86" s="59"/>
    </row>
    <row r="87" spans="1:94" ht="9" customHeight="1" x14ac:dyDescent="0.25">
      <c r="I87" s="9"/>
      <c r="J87" s="14"/>
      <c r="L87" s="14"/>
      <c r="M87" s="44"/>
      <c r="N87" s="75"/>
      <c r="O87" s="44"/>
      <c r="P87" s="75"/>
      <c r="Q87" s="44"/>
      <c r="R87" s="75"/>
      <c r="S87" s="44"/>
      <c r="T87" s="14"/>
      <c r="V87" s="14"/>
      <c r="W87" s="44"/>
      <c r="X87" s="75"/>
      <c r="Y87" s="44"/>
      <c r="Z87" s="75"/>
      <c r="AA87" s="44"/>
      <c r="AB87" s="75"/>
      <c r="AC87" s="44"/>
      <c r="AD87" s="78"/>
      <c r="AF87" s="330"/>
      <c r="AH87" s="330"/>
      <c r="AI87" s="44"/>
      <c r="AJ87" s="340"/>
      <c r="AK87" s="44"/>
      <c r="AL87" s="340"/>
      <c r="AM87" s="44"/>
      <c r="AN87" s="340"/>
      <c r="AO87" s="44"/>
      <c r="AP87" s="330"/>
      <c r="AR87" s="330"/>
      <c r="AS87" s="44"/>
      <c r="AT87" s="340"/>
      <c r="AU87" s="44"/>
      <c r="AV87" s="340"/>
      <c r="AW87" s="44"/>
      <c r="AX87" s="340"/>
      <c r="AY87" s="44"/>
      <c r="AZ87" s="327"/>
      <c r="BF87" s="59"/>
      <c r="BJ87" s="59"/>
      <c r="BN87" s="59"/>
      <c r="BR87" s="59"/>
      <c r="BV87" s="59"/>
      <c r="BZ87" s="59"/>
      <c r="CD87" s="59"/>
      <c r="CH87" s="59"/>
      <c r="CL87" s="59"/>
      <c r="CP87" s="59"/>
    </row>
    <row r="88" spans="1:94" x14ac:dyDescent="0.25">
      <c r="C88" s="77" t="s">
        <v>7</v>
      </c>
      <c r="J88" s="78">
        <f>SUM(J69:J86)</f>
        <v>0</v>
      </c>
      <c r="L88" s="78">
        <f>SUM(L69:L86)</f>
        <v>0</v>
      </c>
      <c r="M88" s="44"/>
      <c r="N88" s="78">
        <f>SUM(N69:N86)</f>
        <v>0</v>
      </c>
      <c r="O88" s="44"/>
      <c r="P88" s="78">
        <f>SUM(P69:P86)</f>
        <v>0</v>
      </c>
      <c r="Q88" s="44"/>
      <c r="R88" s="78">
        <f>SUM(R69:R86)</f>
        <v>0</v>
      </c>
      <c r="S88" s="44"/>
      <c r="T88" s="78">
        <f>SUM(T69:T86)</f>
        <v>0</v>
      </c>
      <c r="V88" s="78">
        <f>SUM(V69:V86)</f>
        <v>0</v>
      </c>
      <c r="W88" s="44"/>
      <c r="X88" s="78">
        <f>SUM(X69:X86)</f>
        <v>0</v>
      </c>
      <c r="Y88" s="44"/>
      <c r="Z88" s="78">
        <f>SUM(Z69:Z86)</f>
        <v>0</v>
      </c>
      <c r="AA88" s="44"/>
      <c r="AB88" s="78">
        <f>SUM(AB69:AB86)</f>
        <v>0</v>
      </c>
      <c r="AC88" s="78"/>
      <c r="AD88" s="78">
        <f>J88+L88+N88+P88+R88+T88+V88+X88+Z88+AB88</f>
        <v>0</v>
      </c>
      <c r="AE88" s="78"/>
      <c r="AF88" s="327">
        <f>SUM(AF69:AF86)</f>
        <v>0</v>
      </c>
      <c r="AH88" s="327">
        <f>SUM(AH69:AH86)</f>
        <v>0</v>
      </c>
      <c r="AI88" s="44"/>
      <c r="AJ88" s="327">
        <f>SUM(AJ69:AJ86)</f>
        <v>0</v>
      </c>
      <c r="AK88" s="44"/>
      <c r="AL88" s="327">
        <f>SUM(AL69:AL86)</f>
        <v>0</v>
      </c>
      <c r="AM88" s="44"/>
      <c r="AN88" s="327">
        <f>SUM(AN69:AN86)</f>
        <v>0</v>
      </c>
      <c r="AO88" s="44"/>
      <c r="AP88" s="327">
        <f>SUM(AP69:AP86)</f>
        <v>0</v>
      </c>
      <c r="AR88" s="327">
        <f>SUM(AR69:AR86)</f>
        <v>0</v>
      </c>
      <c r="AS88" s="44"/>
      <c r="AT88" s="327">
        <f>SUM(AT69:AT86)</f>
        <v>0</v>
      </c>
      <c r="AU88" s="44"/>
      <c r="AV88" s="327">
        <f>SUM(AV69:AV86)</f>
        <v>0</v>
      </c>
      <c r="AW88" s="44"/>
      <c r="AX88" s="327">
        <f>SUM(AX69:AX86)</f>
        <v>0</v>
      </c>
      <c r="AY88" s="78"/>
      <c r="AZ88" s="327">
        <f>AF88+AH88+AJ88+AL88+AN88+AP88+AR88+AT88+AV88+AX88</f>
        <v>0</v>
      </c>
      <c r="BF88" s="59"/>
      <c r="BJ88" s="59"/>
      <c r="BN88" s="59"/>
      <c r="BR88" s="59"/>
      <c r="BV88" s="59"/>
      <c r="BZ88" s="59"/>
      <c r="CD88" s="59"/>
      <c r="CH88" s="59"/>
      <c r="CL88" s="59"/>
      <c r="CP88" s="59"/>
    </row>
    <row r="89" spans="1:94" x14ac:dyDescent="0.25">
      <c r="M89" s="44"/>
      <c r="N89" s="78"/>
      <c r="O89" s="44"/>
      <c r="P89" s="78"/>
      <c r="Q89" s="44"/>
      <c r="R89" s="78"/>
      <c r="S89" s="44"/>
      <c r="W89" s="44"/>
      <c r="X89" s="78"/>
      <c r="Y89" s="44"/>
      <c r="Z89" s="78"/>
      <c r="AA89" s="44"/>
      <c r="AB89" s="78"/>
      <c r="AC89" s="78"/>
      <c r="AD89" s="78"/>
      <c r="AE89" s="78"/>
      <c r="AI89" s="44"/>
      <c r="AJ89" s="327"/>
      <c r="AK89" s="44"/>
      <c r="AL89" s="327"/>
      <c r="AM89" s="44"/>
      <c r="AN89" s="327"/>
      <c r="AO89" s="44"/>
      <c r="AS89" s="44"/>
      <c r="AT89" s="327"/>
      <c r="AU89" s="44"/>
      <c r="AV89" s="327"/>
      <c r="AW89" s="44"/>
      <c r="AX89" s="327"/>
      <c r="AY89" s="78"/>
      <c r="AZ89" s="327"/>
      <c r="BF89" s="59"/>
      <c r="BJ89" s="59"/>
      <c r="BN89" s="59"/>
      <c r="BR89" s="59"/>
      <c r="BV89" s="59"/>
      <c r="BZ89" s="59"/>
      <c r="CD89" s="59"/>
      <c r="CH89" s="59"/>
      <c r="CL89" s="59"/>
      <c r="CP89" s="59"/>
    </row>
    <row r="90" spans="1:94" x14ac:dyDescent="0.25">
      <c r="C90" s="77" t="s">
        <v>60</v>
      </c>
      <c r="J90" s="78">
        <f>J88+J66</f>
        <v>0</v>
      </c>
      <c r="L90" s="78">
        <f>L88+L66</f>
        <v>0</v>
      </c>
      <c r="M90" s="44"/>
      <c r="N90" s="78">
        <f>N88+N66</f>
        <v>0</v>
      </c>
      <c r="O90" s="44"/>
      <c r="P90" s="78">
        <f>P88+P66</f>
        <v>0</v>
      </c>
      <c r="Q90" s="44"/>
      <c r="R90" s="78">
        <f>R88+R66</f>
        <v>0</v>
      </c>
      <c r="S90" s="44"/>
      <c r="T90" s="78">
        <f>T88+T66</f>
        <v>0</v>
      </c>
      <c r="V90" s="78">
        <f>V88+V66</f>
        <v>0</v>
      </c>
      <c r="W90" s="44"/>
      <c r="X90" s="78">
        <f>X88+X66</f>
        <v>0</v>
      </c>
      <c r="Y90" s="44"/>
      <c r="Z90" s="78">
        <f>Z88+Z66</f>
        <v>0</v>
      </c>
      <c r="AA90" s="44"/>
      <c r="AB90" s="78">
        <f>AB88+AB66</f>
        <v>0</v>
      </c>
      <c r="AC90" s="78"/>
      <c r="AD90" s="78">
        <f>J90+L90+N90+P90+R90+T90+V90+X90+Z90+AB90</f>
        <v>0</v>
      </c>
      <c r="AE90" s="78"/>
      <c r="AF90" s="327">
        <f>AF88+AF66</f>
        <v>0</v>
      </c>
      <c r="AH90" s="327">
        <f>AH88+AH66</f>
        <v>0</v>
      </c>
      <c r="AI90" s="44"/>
      <c r="AJ90" s="327">
        <f>AJ88+AJ66</f>
        <v>0</v>
      </c>
      <c r="AK90" s="44"/>
      <c r="AL90" s="327">
        <f>AL88+AL66</f>
        <v>0</v>
      </c>
      <c r="AM90" s="44"/>
      <c r="AN90" s="327">
        <f>AN88+AN66</f>
        <v>0</v>
      </c>
      <c r="AO90" s="44"/>
      <c r="AP90" s="327">
        <f>AP88+AP66</f>
        <v>0</v>
      </c>
      <c r="AR90" s="327">
        <f>AR88+AR66</f>
        <v>0</v>
      </c>
      <c r="AS90" s="44"/>
      <c r="AT90" s="327">
        <f>AT88+AT66</f>
        <v>0</v>
      </c>
      <c r="AU90" s="44"/>
      <c r="AV90" s="327">
        <f>AV88+AV66</f>
        <v>0</v>
      </c>
      <c r="AW90" s="44"/>
      <c r="AX90" s="327">
        <f>AX88+AX66</f>
        <v>0</v>
      </c>
      <c r="AY90" s="78"/>
      <c r="AZ90" s="327">
        <f>AF90+AH90+AJ90+AL90+AN90+AP90+AR90+AT90+AV90+AX90</f>
        <v>0</v>
      </c>
      <c r="BF90" s="59"/>
      <c r="BJ90" s="59"/>
      <c r="BN90" s="59"/>
      <c r="BR90" s="59"/>
      <c r="BV90" s="59"/>
      <c r="BZ90" s="59"/>
      <c r="CD90" s="59"/>
      <c r="CH90" s="59"/>
      <c r="CL90" s="59"/>
      <c r="CP90" s="59"/>
    </row>
    <row r="91" spans="1:94" x14ac:dyDescent="0.25">
      <c r="M91" s="44"/>
      <c r="N91" s="78"/>
      <c r="O91" s="44"/>
      <c r="P91" s="78"/>
      <c r="Q91" s="44"/>
      <c r="R91" s="78"/>
      <c r="S91" s="44"/>
      <c r="W91" s="44"/>
      <c r="X91" s="78"/>
      <c r="Y91" s="44"/>
      <c r="Z91" s="78"/>
      <c r="AA91" s="44"/>
      <c r="AB91" s="78"/>
      <c r="AC91" s="78"/>
      <c r="AD91" s="78"/>
      <c r="AI91" s="44"/>
      <c r="AJ91" s="327"/>
      <c r="AK91" s="44"/>
      <c r="AL91" s="327"/>
      <c r="AM91" s="44"/>
      <c r="AN91" s="327"/>
      <c r="AO91" s="44"/>
      <c r="AS91" s="44"/>
      <c r="AT91" s="327"/>
      <c r="AU91" s="44"/>
      <c r="AV91" s="327"/>
      <c r="AW91" s="44"/>
      <c r="AX91" s="327"/>
      <c r="AY91" s="78"/>
      <c r="AZ91" s="327"/>
      <c r="BF91" s="59"/>
      <c r="BJ91" s="59"/>
      <c r="BN91" s="59"/>
      <c r="BR91" s="59"/>
      <c r="BV91" s="59"/>
      <c r="BZ91" s="59"/>
      <c r="CD91" s="59"/>
      <c r="CH91" s="59"/>
      <c r="CL91" s="59"/>
      <c r="CP91" s="59"/>
    </row>
    <row r="92" spans="1:94" ht="16.5" customHeight="1" x14ac:dyDescent="0.25">
      <c r="B92" s="10" t="s">
        <v>19</v>
      </c>
      <c r="C92" s="10" t="s">
        <v>69</v>
      </c>
      <c r="M92" s="44"/>
      <c r="N92" s="44"/>
      <c r="O92" s="44"/>
      <c r="P92" s="44"/>
      <c r="Q92" s="44"/>
      <c r="R92" s="44"/>
      <c r="S92" s="44"/>
      <c r="W92" s="44"/>
      <c r="X92" s="44"/>
      <c r="Y92" s="44"/>
      <c r="Z92" s="44"/>
      <c r="AA92" s="44"/>
      <c r="AB92" s="44"/>
      <c r="AC92" s="44"/>
      <c r="AD92" s="78"/>
      <c r="AI92" s="44"/>
      <c r="AJ92" s="89"/>
      <c r="AK92" s="44"/>
      <c r="AL92" s="89"/>
      <c r="AM92" s="44"/>
      <c r="AN92" s="89"/>
      <c r="AO92" s="44"/>
      <c r="AS92" s="44"/>
      <c r="AT92" s="89"/>
      <c r="AU92" s="44"/>
      <c r="AV92" s="89"/>
      <c r="AW92" s="44"/>
      <c r="AX92" s="89"/>
      <c r="AY92" s="44"/>
      <c r="AZ92" s="327"/>
      <c r="BF92" s="59"/>
      <c r="BJ92" s="59"/>
      <c r="BN92" s="59"/>
      <c r="BR92" s="59"/>
      <c r="BV92" s="59"/>
      <c r="BZ92" s="59"/>
      <c r="CD92" s="59"/>
      <c r="CH92" s="59"/>
      <c r="CL92" s="59"/>
      <c r="CP92" s="59"/>
    </row>
    <row r="93" spans="1:94" ht="16.5" customHeight="1" outlineLevel="1" x14ac:dyDescent="0.25">
      <c r="A93" s="77" t="s">
        <v>69</v>
      </c>
      <c r="B93" s="10"/>
      <c r="C93" s="77" t="s">
        <v>38</v>
      </c>
      <c r="J93" s="78">
        <v>0</v>
      </c>
      <c r="L93" s="78">
        <v>0</v>
      </c>
      <c r="M93" s="44"/>
      <c r="N93" s="78">
        <v>0</v>
      </c>
      <c r="O93" s="44"/>
      <c r="P93" s="78">
        <v>0</v>
      </c>
      <c r="Q93" s="44"/>
      <c r="R93" s="78">
        <v>0</v>
      </c>
      <c r="S93" s="44"/>
      <c r="T93" s="78">
        <v>0</v>
      </c>
      <c r="V93" s="78">
        <v>0</v>
      </c>
      <c r="W93" s="44"/>
      <c r="X93" s="78">
        <v>0</v>
      </c>
      <c r="Y93" s="44"/>
      <c r="Z93" s="78">
        <v>0</v>
      </c>
      <c r="AA93" s="44"/>
      <c r="AB93" s="78">
        <v>0</v>
      </c>
      <c r="AC93" s="78"/>
      <c r="AD93" s="78">
        <f>J93+L93+N93+P93+R93+T93+V93+X93+Z93+AB93</f>
        <v>0</v>
      </c>
      <c r="AE93" s="78"/>
      <c r="AF93" s="327">
        <v>0</v>
      </c>
      <c r="AH93" s="327">
        <v>0</v>
      </c>
      <c r="AI93" s="44"/>
      <c r="AJ93" s="327">
        <v>0</v>
      </c>
      <c r="AK93" s="44"/>
      <c r="AL93" s="327">
        <v>0</v>
      </c>
      <c r="AM93" s="44"/>
      <c r="AN93" s="327">
        <v>0</v>
      </c>
      <c r="AO93" s="44"/>
      <c r="AP93" s="327">
        <v>0</v>
      </c>
      <c r="AR93" s="327">
        <v>0</v>
      </c>
      <c r="AS93" s="44"/>
      <c r="AT93" s="327">
        <v>0</v>
      </c>
      <c r="AU93" s="44"/>
      <c r="AV93" s="327">
        <v>0</v>
      </c>
      <c r="AW93" s="44"/>
      <c r="AX93" s="327">
        <v>0</v>
      </c>
      <c r="AY93" s="78"/>
      <c r="AZ93" s="327">
        <f>AF93+AH93+AJ93+AL93+AN93+AP93+AR93+AT93+AV93+AX93</f>
        <v>0</v>
      </c>
      <c r="BF93" s="59"/>
      <c r="BJ93" s="59"/>
      <c r="BN93" s="59"/>
      <c r="BR93" s="59"/>
      <c r="BV93" s="59"/>
      <c r="BZ93" s="59"/>
      <c r="CD93" s="59"/>
      <c r="CH93" s="59"/>
      <c r="CL93" s="59"/>
      <c r="CP93" s="59"/>
    </row>
    <row r="94" spans="1:94" ht="16.5" customHeight="1" outlineLevel="1" x14ac:dyDescent="0.25">
      <c r="A94" s="77" t="s">
        <v>69</v>
      </c>
      <c r="B94" s="10"/>
      <c r="C94" s="77" t="s">
        <v>39</v>
      </c>
      <c r="J94" s="78">
        <v>0</v>
      </c>
      <c r="L94" s="78">
        <v>0</v>
      </c>
      <c r="M94" s="44"/>
      <c r="N94" s="78">
        <v>0</v>
      </c>
      <c r="O94" s="44"/>
      <c r="P94" s="78">
        <v>0</v>
      </c>
      <c r="Q94" s="44"/>
      <c r="R94" s="78">
        <v>0</v>
      </c>
      <c r="S94" s="44"/>
      <c r="T94" s="78">
        <v>0</v>
      </c>
      <c r="V94" s="78">
        <v>0</v>
      </c>
      <c r="W94" s="44"/>
      <c r="X94" s="78">
        <v>0</v>
      </c>
      <c r="Y94" s="44"/>
      <c r="Z94" s="78">
        <v>0</v>
      </c>
      <c r="AA94" s="44"/>
      <c r="AB94" s="78">
        <v>0</v>
      </c>
      <c r="AC94" s="78"/>
      <c r="AD94" s="78">
        <f>J94+L94+N94+P94+R94+T94+V94+X94+Z94+AB94</f>
        <v>0</v>
      </c>
      <c r="AE94" s="78"/>
      <c r="AF94" s="327">
        <v>0</v>
      </c>
      <c r="AH94" s="327">
        <v>0</v>
      </c>
      <c r="AI94" s="44"/>
      <c r="AJ94" s="327">
        <v>0</v>
      </c>
      <c r="AK94" s="44"/>
      <c r="AL94" s="327">
        <v>0</v>
      </c>
      <c r="AM94" s="44"/>
      <c r="AN94" s="327">
        <v>0</v>
      </c>
      <c r="AO94" s="44"/>
      <c r="AP94" s="327">
        <v>0</v>
      </c>
      <c r="AR94" s="327">
        <v>0</v>
      </c>
      <c r="AS94" s="44"/>
      <c r="AT94" s="327">
        <v>0</v>
      </c>
      <c r="AU94" s="44"/>
      <c r="AV94" s="327">
        <v>0</v>
      </c>
      <c r="AW94" s="44"/>
      <c r="AX94" s="327">
        <v>0</v>
      </c>
      <c r="AY94" s="78"/>
      <c r="AZ94" s="327">
        <f>AF94+AH94+AJ94+AL94+AN94+AP94+AR94+AT94+AV94+AX94</f>
        <v>0</v>
      </c>
      <c r="BF94" s="59"/>
      <c r="BJ94" s="59"/>
      <c r="BN94" s="59"/>
      <c r="BR94" s="59"/>
      <c r="BV94" s="59"/>
      <c r="BZ94" s="59"/>
      <c r="CD94" s="59"/>
      <c r="CH94" s="59"/>
      <c r="CL94" s="59"/>
      <c r="CP94" s="59"/>
    </row>
    <row r="95" spans="1:94" ht="16.5" customHeight="1" outlineLevel="1" x14ac:dyDescent="0.25">
      <c r="A95" s="77" t="s">
        <v>69</v>
      </c>
      <c r="B95" s="10"/>
      <c r="C95" s="77" t="s">
        <v>40</v>
      </c>
      <c r="J95" s="78">
        <v>0</v>
      </c>
      <c r="L95" s="78">
        <v>0</v>
      </c>
      <c r="M95" s="44"/>
      <c r="N95" s="78">
        <v>0</v>
      </c>
      <c r="O95" s="44"/>
      <c r="P95" s="78">
        <v>0</v>
      </c>
      <c r="Q95" s="44"/>
      <c r="R95" s="78">
        <v>0</v>
      </c>
      <c r="S95" s="44"/>
      <c r="T95" s="78">
        <v>0</v>
      </c>
      <c r="V95" s="78">
        <v>0</v>
      </c>
      <c r="W95" s="44"/>
      <c r="X95" s="78">
        <v>0</v>
      </c>
      <c r="Y95" s="44"/>
      <c r="Z95" s="78">
        <v>0</v>
      </c>
      <c r="AA95" s="44"/>
      <c r="AB95" s="78">
        <v>0</v>
      </c>
      <c r="AC95" s="78"/>
      <c r="AD95" s="78">
        <f>J95+L95+N95+P95+R95+T95+V95+X95+Z95+AB95</f>
        <v>0</v>
      </c>
      <c r="AE95" s="78"/>
      <c r="AF95" s="327">
        <v>0</v>
      </c>
      <c r="AH95" s="327">
        <v>0</v>
      </c>
      <c r="AI95" s="44"/>
      <c r="AJ95" s="327">
        <v>0</v>
      </c>
      <c r="AK95" s="44"/>
      <c r="AL95" s="327">
        <v>0</v>
      </c>
      <c r="AM95" s="44"/>
      <c r="AN95" s="327">
        <v>0</v>
      </c>
      <c r="AO95" s="44"/>
      <c r="AP95" s="327">
        <v>0</v>
      </c>
      <c r="AR95" s="327">
        <v>0</v>
      </c>
      <c r="AS95" s="44"/>
      <c r="AT95" s="327">
        <v>0</v>
      </c>
      <c r="AU95" s="44"/>
      <c r="AV95" s="327">
        <v>0</v>
      </c>
      <c r="AW95" s="44"/>
      <c r="AX95" s="327">
        <v>0</v>
      </c>
      <c r="AY95" s="78"/>
      <c r="AZ95" s="327">
        <f>AF95+AH95+AJ95+AL95+AN95+AP95+AR95+AT95+AV95+AX95</f>
        <v>0</v>
      </c>
      <c r="BF95" s="59"/>
      <c r="BJ95" s="59"/>
      <c r="BN95" s="59"/>
      <c r="BR95" s="59"/>
      <c r="BV95" s="59"/>
      <c r="BZ95" s="59"/>
      <c r="CD95" s="59"/>
      <c r="CH95" s="59"/>
      <c r="CL95" s="59"/>
      <c r="CP95" s="59"/>
    </row>
    <row r="96" spans="1:94" ht="16.5" customHeight="1" outlineLevel="1" x14ac:dyDescent="0.25">
      <c r="A96" s="77" t="s">
        <v>69</v>
      </c>
      <c r="B96" s="10"/>
      <c r="C96" s="77" t="s">
        <v>49</v>
      </c>
      <c r="J96" s="78">
        <v>0</v>
      </c>
      <c r="L96" s="78">
        <v>0</v>
      </c>
      <c r="M96" s="44"/>
      <c r="N96" s="78">
        <v>0</v>
      </c>
      <c r="O96" s="44"/>
      <c r="P96" s="78">
        <v>0</v>
      </c>
      <c r="Q96" s="44"/>
      <c r="R96" s="78">
        <v>0</v>
      </c>
      <c r="S96" s="44"/>
      <c r="T96" s="78">
        <v>0</v>
      </c>
      <c r="V96" s="78">
        <v>0</v>
      </c>
      <c r="W96" s="44"/>
      <c r="X96" s="78">
        <v>0</v>
      </c>
      <c r="Y96" s="44"/>
      <c r="Z96" s="78">
        <v>0</v>
      </c>
      <c r="AA96" s="44"/>
      <c r="AB96" s="78">
        <v>0</v>
      </c>
      <c r="AC96" s="78"/>
      <c r="AD96" s="11">
        <f>J96+L96+N96+P96+R96+T96+V96+X96+Z96+AB96</f>
        <v>0</v>
      </c>
      <c r="AE96" s="78"/>
      <c r="AF96" s="327">
        <v>0</v>
      </c>
      <c r="AH96" s="327">
        <v>0</v>
      </c>
      <c r="AI96" s="44"/>
      <c r="AJ96" s="327">
        <v>0</v>
      </c>
      <c r="AK96" s="44"/>
      <c r="AL96" s="327">
        <v>0</v>
      </c>
      <c r="AM96" s="44"/>
      <c r="AN96" s="327">
        <v>0</v>
      </c>
      <c r="AO96" s="44"/>
      <c r="AP96" s="327">
        <v>0</v>
      </c>
      <c r="AR96" s="327">
        <v>0</v>
      </c>
      <c r="AS96" s="44"/>
      <c r="AT96" s="327">
        <v>0</v>
      </c>
      <c r="AU96" s="44"/>
      <c r="AV96" s="327">
        <v>0</v>
      </c>
      <c r="AW96" s="44"/>
      <c r="AX96" s="327">
        <v>0</v>
      </c>
      <c r="AY96" s="78"/>
      <c r="AZ96" s="338">
        <f>AF96+AH96+AJ96+AL96+AN96+AP96+AR96+AT96+AV96+AX96</f>
        <v>0</v>
      </c>
      <c r="BF96" s="59"/>
      <c r="BJ96" s="59"/>
      <c r="BN96" s="59"/>
      <c r="BR96" s="59"/>
      <c r="BV96" s="59"/>
      <c r="BZ96" s="59"/>
      <c r="CD96" s="59"/>
      <c r="CH96" s="59"/>
      <c r="CL96" s="59"/>
      <c r="CP96" s="59"/>
    </row>
    <row r="97" spans="1:94" ht="9.6" customHeight="1" x14ac:dyDescent="0.25">
      <c r="J97" s="14"/>
      <c r="L97" s="14"/>
      <c r="M97" s="44"/>
      <c r="N97" s="14"/>
      <c r="O97" s="44"/>
      <c r="P97" s="14"/>
      <c r="Q97" s="44"/>
      <c r="R97" s="14"/>
      <c r="S97" s="44"/>
      <c r="T97" s="14"/>
      <c r="V97" s="14"/>
      <c r="W97" s="44"/>
      <c r="X97" s="14"/>
      <c r="Y97" s="44"/>
      <c r="Z97" s="14"/>
      <c r="AA97" s="44"/>
      <c r="AB97" s="14"/>
      <c r="AC97" s="78"/>
      <c r="AD97" s="78"/>
      <c r="AE97" s="78"/>
      <c r="AF97" s="330"/>
      <c r="AH97" s="330"/>
      <c r="AI97" s="44"/>
      <c r="AJ97" s="330"/>
      <c r="AK97" s="44"/>
      <c r="AL97" s="330"/>
      <c r="AM97" s="44"/>
      <c r="AN97" s="330"/>
      <c r="AO97" s="44"/>
      <c r="AP97" s="330"/>
      <c r="AR97" s="330"/>
      <c r="AS97" s="44"/>
      <c r="AT97" s="330"/>
      <c r="AU97" s="44"/>
      <c r="AV97" s="330"/>
      <c r="AW97" s="44"/>
      <c r="AX97" s="330"/>
      <c r="AY97" s="78"/>
      <c r="AZ97" s="327"/>
      <c r="BF97" s="59"/>
      <c r="BJ97" s="59"/>
      <c r="BN97" s="59"/>
      <c r="BR97" s="59"/>
      <c r="BV97" s="59"/>
      <c r="BZ97" s="59"/>
      <c r="CD97" s="59"/>
      <c r="CH97" s="59"/>
      <c r="CL97" s="59"/>
      <c r="CP97" s="59"/>
    </row>
    <row r="98" spans="1:94" x14ac:dyDescent="0.25">
      <c r="C98" s="77" t="s">
        <v>222</v>
      </c>
      <c r="J98" s="78">
        <f>SUM(J92:J96)</f>
        <v>0</v>
      </c>
      <c r="L98" s="78">
        <f>SUM(L92:L96)</f>
        <v>0</v>
      </c>
      <c r="M98" s="44"/>
      <c r="N98" s="78">
        <f>SUM(N92:N96)</f>
        <v>0</v>
      </c>
      <c r="O98" s="44"/>
      <c r="P98" s="78">
        <f>SUM(P92:P96)</f>
        <v>0</v>
      </c>
      <c r="Q98" s="44"/>
      <c r="R98" s="78">
        <f>SUM(R92:R96)</f>
        <v>0</v>
      </c>
      <c r="S98" s="44"/>
      <c r="T98" s="78">
        <f>SUM(T92:T96)</f>
        <v>0</v>
      </c>
      <c r="V98" s="78">
        <f>SUM(V92:V96)</f>
        <v>0</v>
      </c>
      <c r="W98" s="44"/>
      <c r="X98" s="78">
        <f>SUM(X92:X96)</f>
        <v>0</v>
      </c>
      <c r="Y98" s="44"/>
      <c r="Z98" s="78">
        <f>SUM(Z92:Z96)</f>
        <v>0</v>
      </c>
      <c r="AA98" s="44"/>
      <c r="AB98" s="78">
        <f>SUM(AB92:AB96)</f>
        <v>0</v>
      </c>
      <c r="AC98" s="78"/>
      <c r="AD98" s="78">
        <f>J98+L98+N98+P98+R98+T98+V98+X98+Z98+AB98</f>
        <v>0</v>
      </c>
      <c r="AE98" s="78"/>
      <c r="AF98" s="327">
        <f>SUM(AF92:AF96)</f>
        <v>0</v>
      </c>
      <c r="AH98" s="327">
        <f>SUM(AH92:AH96)</f>
        <v>0</v>
      </c>
      <c r="AI98" s="44"/>
      <c r="AJ98" s="327">
        <f>SUM(AJ92:AJ96)</f>
        <v>0</v>
      </c>
      <c r="AK98" s="44"/>
      <c r="AL98" s="327">
        <f>SUM(AL92:AL96)</f>
        <v>0</v>
      </c>
      <c r="AM98" s="44"/>
      <c r="AN98" s="327">
        <f>SUM(AN92:AN96)</f>
        <v>0</v>
      </c>
      <c r="AO98" s="44"/>
      <c r="AP98" s="327">
        <f>SUM(AP92:AP96)</f>
        <v>0</v>
      </c>
      <c r="AR98" s="327">
        <f>SUM(AR92:AR96)</f>
        <v>0</v>
      </c>
      <c r="AS98" s="44"/>
      <c r="AT98" s="327">
        <f>SUM(AT92:AT96)</f>
        <v>0</v>
      </c>
      <c r="AU98" s="44"/>
      <c r="AV98" s="327">
        <f>SUM(AV92:AV96)</f>
        <v>0</v>
      </c>
      <c r="AW98" s="44"/>
      <c r="AX98" s="327">
        <f>SUM(AX92:AX96)</f>
        <v>0</v>
      </c>
      <c r="AY98" s="78"/>
      <c r="AZ98" s="327">
        <f>AF98+AH98+AJ98+AL98+AN98+AP98+AR98+AT98+AV98+AX98</f>
        <v>0</v>
      </c>
      <c r="BF98" s="59"/>
      <c r="BJ98" s="59"/>
      <c r="BN98" s="59"/>
      <c r="BR98" s="59"/>
      <c r="BV98" s="59"/>
      <c r="BZ98" s="59"/>
      <c r="CD98" s="59"/>
      <c r="CH98" s="59"/>
      <c r="CL98" s="59"/>
      <c r="CP98" s="59"/>
    </row>
    <row r="99" spans="1:94" x14ac:dyDescent="0.25">
      <c r="M99" s="44"/>
      <c r="N99" s="44"/>
      <c r="O99" s="44"/>
      <c r="P99" s="44"/>
      <c r="Q99" s="44"/>
      <c r="R99" s="44"/>
      <c r="S99" s="44"/>
      <c r="W99" s="44"/>
      <c r="X99" s="44"/>
      <c r="Y99" s="44"/>
      <c r="Z99" s="44"/>
      <c r="AA99" s="44"/>
      <c r="AB99" s="44"/>
      <c r="AC99" s="44"/>
      <c r="AD99" s="78"/>
      <c r="AI99" s="44"/>
      <c r="AJ99" s="89"/>
      <c r="AK99" s="44"/>
      <c r="AL99" s="89"/>
      <c r="AM99" s="44"/>
      <c r="AN99" s="89"/>
      <c r="AO99" s="44"/>
      <c r="AS99" s="44"/>
      <c r="AT99" s="89"/>
      <c r="AU99" s="44"/>
      <c r="AV99" s="89"/>
      <c r="AW99" s="44"/>
      <c r="AX99" s="89"/>
      <c r="AY99" s="44"/>
      <c r="AZ99" s="327"/>
      <c r="BF99" s="59"/>
      <c r="BJ99" s="59"/>
      <c r="BN99" s="59"/>
      <c r="BR99" s="59"/>
      <c r="BV99" s="59"/>
      <c r="BZ99" s="59"/>
      <c r="CD99" s="59"/>
      <c r="CH99" s="59"/>
      <c r="CL99" s="59"/>
      <c r="CP99" s="59"/>
    </row>
    <row r="100" spans="1:94" x14ac:dyDescent="0.25">
      <c r="B100" s="10" t="s">
        <v>8</v>
      </c>
      <c r="C100" s="10" t="s">
        <v>10</v>
      </c>
      <c r="M100" s="44"/>
      <c r="N100" s="44"/>
      <c r="O100" s="44"/>
      <c r="P100" s="44"/>
      <c r="Q100" s="44"/>
      <c r="R100" s="44"/>
      <c r="S100" s="44"/>
      <c r="W100" s="44"/>
      <c r="X100" s="44"/>
      <c r="Y100" s="44"/>
      <c r="Z100" s="44"/>
      <c r="AA100" s="44"/>
      <c r="AB100" s="44"/>
      <c r="AC100" s="44"/>
      <c r="AD100" s="78"/>
      <c r="AI100" s="44"/>
      <c r="AJ100" s="89"/>
      <c r="AK100" s="44"/>
      <c r="AL100" s="89"/>
      <c r="AM100" s="44"/>
      <c r="AN100" s="89"/>
      <c r="AO100" s="44"/>
      <c r="AS100" s="44"/>
      <c r="AT100" s="89"/>
      <c r="AU100" s="44"/>
      <c r="AV100" s="89"/>
      <c r="AW100" s="44"/>
      <c r="AX100" s="89"/>
      <c r="AY100" s="44"/>
      <c r="AZ100" s="327"/>
      <c r="BC100" s="12" t="s">
        <v>351</v>
      </c>
      <c r="BD100" s="89" t="s">
        <v>255</v>
      </c>
      <c r="BF100" s="59"/>
      <c r="BJ100" s="59"/>
      <c r="BN100" s="59"/>
      <c r="BR100" s="59"/>
      <c r="BV100" s="59"/>
      <c r="BZ100" s="59"/>
      <c r="CD100" s="59"/>
      <c r="CH100" s="59"/>
      <c r="CL100" s="59"/>
      <c r="CP100" s="59"/>
    </row>
    <row r="101" spans="1:94" outlineLevel="1" x14ac:dyDescent="0.25">
      <c r="A101" s="36"/>
      <c r="B101" s="10"/>
      <c r="C101" s="12" t="s">
        <v>34</v>
      </c>
      <c r="E101" s="66" t="s">
        <v>72</v>
      </c>
      <c r="F101" s="67" t="s">
        <v>70</v>
      </c>
      <c r="G101" s="67" t="s">
        <v>82</v>
      </c>
      <c r="H101" s="67" t="s">
        <v>71</v>
      </c>
      <c r="M101" s="44"/>
      <c r="N101" s="44"/>
      <c r="O101" s="44"/>
      <c r="P101" s="44"/>
      <c r="Q101" s="44"/>
      <c r="R101" s="44"/>
      <c r="S101" s="44"/>
      <c r="W101" s="44"/>
      <c r="X101" s="44"/>
      <c r="Y101" s="44"/>
      <c r="Z101" s="44"/>
      <c r="AA101" s="44"/>
      <c r="AB101" s="44"/>
      <c r="AC101" s="44"/>
      <c r="AD101" s="78"/>
      <c r="AE101" s="78"/>
      <c r="AI101" s="44"/>
      <c r="AJ101" s="89"/>
      <c r="AK101" s="44"/>
      <c r="AL101" s="89"/>
      <c r="AM101" s="44"/>
      <c r="AN101" s="89"/>
      <c r="AO101" s="44"/>
      <c r="AS101" s="44"/>
      <c r="AT101" s="89"/>
      <c r="AU101" s="44"/>
      <c r="AV101" s="89"/>
      <c r="AW101" s="44"/>
      <c r="AX101" s="89"/>
      <c r="AY101" s="44"/>
      <c r="AZ101" s="327"/>
      <c r="BF101" s="59"/>
      <c r="BJ101" s="59"/>
      <c r="BN101" s="59"/>
      <c r="BR101" s="59"/>
      <c r="BV101" s="59"/>
      <c r="BZ101" s="59"/>
      <c r="CD101" s="59"/>
      <c r="CH101" s="59"/>
      <c r="CL101" s="59"/>
      <c r="CP101" s="59"/>
    </row>
    <row r="102" spans="1:94" outlineLevel="1" x14ac:dyDescent="0.25">
      <c r="A102" s="36"/>
      <c r="B102" s="10"/>
      <c r="C102" s="19" t="s">
        <v>365</v>
      </c>
      <c r="E102" s="17"/>
      <c r="F102" s="16"/>
      <c r="G102" s="16"/>
      <c r="H102" s="16"/>
      <c r="M102" s="44"/>
      <c r="N102" s="44"/>
      <c r="O102" s="44"/>
      <c r="P102" s="44"/>
      <c r="Q102" s="44"/>
      <c r="R102" s="44"/>
      <c r="S102" s="44"/>
      <c r="W102" s="44"/>
      <c r="X102" s="44"/>
      <c r="Y102" s="44"/>
      <c r="Z102" s="44"/>
      <c r="AA102" s="44"/>
      <c r="AB102" s="44"/>
      <c r="AC102" s="44"/>
      <c r="AD102" s="78"/>
      <c r="AI102" s="44"/>
      <c r="AJ102" s="89"/>
      <c r="AK102" s="44"/>
      <c r="AL102" s="89"/>
      <c r="AM102" s="44"/>
      <c r="AN102" s="89"/>
      <c r="AO102" s="44"/>
      <c r="AS102" s="44"/>
      <c r="AT102" s="89"/>
      <c r="AU102" s="44"/>
      <c r="AV102" s="89"/>
      <c r="AW102" s="44"/>
      <c r="AX102" s="89"/>
      <c r="AY102" s="44"/>
      <c r="AZ102" s="327"/>
      <c r="BF102" s="59"/>
      <c r="BJ102" s="59"/>
      <c r="BN102" s="59"/>
      <c r="BR102" s="59"/>
      <c r="BV102" s="59"/>
      <c r="BZ102" s="59"/>
      <c r="CD102" s="59"/>
      <c r="CH102" s="59"/>
      <c r="CL102" s="59"/>
      <c r="CP102" s="59"/>
    </row>
    <row r="103" spans="1:94" outlineLevel="1" x14ac:dyDescent="0.25">
      <c r="A103" s="36" t="s">
        <v>240</v>
      </c>
      <c r="B103" s="10"/>
      <c r="C103" s="13"/>
      <c r="D103" s="77" t="s">
        <v>74</v>
      </c>
      <c r="E103" s="66"/>
      <c r="F103" s="67"/>
      <c r="G103" s="67">
        <v>0</v>
      </c>
      <c r="H103" s="67">
        <v>0</v>
      </c>
      <c r="J103" s="78">
        <f>E103*G103*H103</f>
        <v>0</v>
      </c>
      <c r="L103" s="78">
        <f>IF($BD$15&lt;2,0, IF($BD$100="Yes", (E103*G103*H103)*(1+$BD$10),(E103*G103*H103)))</f>
        <v>0</v>
      </c>
      <c r="M103" s="78"/>
      <c r="N103" s="78">
        <f>IF($BD$15&lt;3,0, IF($BD$100="Yes", (E103*G103*H103)*(1+$BD$10)^2,(E103*G103*H103)))</f>
        <v>0</v>
      </c>
      <c r="O103" s="78"/>
      <c r="P103" s="78">
        <f>IF($BD$15&lt;4,0, IF($BD$100="Yes", (E103*G103*H103)*(1+$BD$10)^3,(E103*G103*H103)))</f>
        <v>0</v>
      </c>
      <c r="Q103" s="78"/>
      <c r="R103" s="78">
        <f>IF($BD$15&lt;5,0, IF($BD$100="Yes", (E103*G103*H103)*(1+$BD$10)^4,(E103*G103*H103)))</f>
        <v>0</v>
      </c>
      <c r="S103" s="78"/>
      <c r="T103" s="78">
        <f>IF($BD$15&lt;6,0, IF($BD$100="Yes", (E103*G103*H103)*(1+$BD$10)^5,(E103*G103*H103)))</f>
        <v>0</v>
      </c>
      <c r="V103" s="78">
        <f>IF($BD$15&lt;7,0, IF($BD$100="Yes", (E103*G103*H103)*(1+$BD$10)^6,(E103*G103*H103)))</f>
        <v>0</v>
      </c>
      <c r="W103" s="78"/>
      <c r="X103" s="78">
        <f>IF($BD$15&lt;8,0, IF($BD$100="Yes", (E103*G103*H103)*(1+$BD$10)^7,(E103*G103*H103)))</f>
        <v>0</v>
      </c>
      <c r="Y103" s="78"/>
      <c r="Z103" s="78">
        <f>IF($BD$15&lt;9,0, IF($BD$100="Yes", (E103*G103*H103)*(1+$BD$10)^8,(E103*G103*H103)))</f>
        <v>0</v>
      </c>
      <c r="AA103" s="78"/>
      <c r="AB103" s="78">
        <f>IF($BD$15&lt;10,0, IF($BD$100="Yes", (E103*G103*H103)*(1+$BD$10)^9,(E103*G103*H103)))</f>
        <v>0</v>
      </c>
      <c r="AC103" s="78"/>
      <c r="AD103" s="78">
        <f>J103+L103+N103+P103+R103+T103+V103+X103+Z103+AB103</f>
        <v>0</v>
      </c>
      <c r="AF103" s="327">
        <v>0</v>
      </c>
      <c r="AH103" s="327">
        <v>0</v>
      </c>
      <c r="AI103" s="78"/>
      <c r="AJ103" s="327">
        <v>0</v>
      </c>
      <c r="AK103" s="78"/>
      <c r="AL103" s="327">
        <v>0</v>
      </c>
      <c r="AM103" s="78"/>
      <c r="AN103" s="327">
        <v>0</v>
      </c>
      <c r="AO103" s="78"/>
      <c r="AP103" s="327">
        <v>0</v>
      </c>
      <c r="AR103" s="327">
        <v>0</v>
      </c>
      <c r="AS103" s="78"/>
      <c r="AT103" s="327">
        <v>0</v>
      </c>
      <c r="AU103" s="78"/>
      <c r="AV103" s="327">
        <v>0</v>
      </c>
      <c r="AW103" s="78"/>
      <c r="AX103" s="327">
        <v>0</v>
      </c>
      <c r="AY103" s="78"/>
      <c r="AZ103" s="327">
        <f>AF103+AH103+AJ103+AL103+AN103+AP103+AR103+AT103+AV103+AX103</f>
        <v>0</v>
      </c>
      <c r="BF103" s="59"/>
      <c r="BJ103" s="59"/>
      <c r="BN103" s="59"/>
      <c r="BR103" s="59"/>
      <c r="BV103" s="59"/>
      <c r="BZ103" s="59"/>
      <c r="CD103" s="59"/>
      <c r="CH103" s="59"/>
      <c r="CL103" s="59"/>
      <c r="CP103" s="59"/>
    </row>
    <row r="104" spans="1:94" outlineLevel="1" x14ac:dyDescent="0.25">
      <c r="A104" s="36" t="s">
        <v>240</v>
      </c>
      <c r="B104" s="10"/>
      <c r="C104" s="13"/>
      <c r="D104" s="77" t="s">
        <v>83</v>
      </c>
      <c r="E104" s="66"/>
      <c r="F104" s="67"/>
      <c r="G104" s="67">
        <f>G103</f>
        <v>0</v>
      </c>
      <c r="H104" s="67">
        <f>H103</f>
        <v>0</v>
      </c>
      <c r="J104" s="78">
        <f>E104*F104*G104*H104</f>
        <v>0</v>
      </c>
      <c r="L104" s="78">
        <f>IF($BD$15&lt;2,0, IF($BD$100="Yes", (E104*F104*G104*H104)*(1+$BD$10),(E104*F104*G104*H104)))</f>
        <v>0</v>
      </c>
      <c r="M104" s="44"/>
      <c r="N104" s="78">
        <f>IF($BD$15&lt;3,0, IF($BD$100="Yes", (E104*F104*G104*H104)*(1+$BD$10)^2,(E104*F104*G104*H104)))</f>
        <v>0</v>
      </c>
      <c r="O104" s="44"/>
      <c r="P104" s="78">
        <f>IF($BD$15&lt;4,0, IF($BD$100="Yes", (E104*F104*G104*H104)*(1+$BD$10)^3,(E104*F104*G104*H104)))</f>
        <v>0</v>
      </c>
      <c r="Q104" s="44"/>
      <c r="R104" s="78">
        <f>IF($BD$15&lt;5,0, IF($BD$100="Yes", (E104*F104*G104*H104)*(1+$BD$10)^4,(E104*F104*G104*H104)))</f>
        <v>0</v>
      </c>
      <c r="S104" s="44"/>
      <c r="T104" s="78">
        <f>IF($BD$15&lt;6,0, IF($BD$100="Yes", (E104*F104*G104*H104)*(1+$BD$10)^5,(E104*F104*G104*H104)))</f>
        <v>0</v>
      </c>
      <c r="V104" s="78">
        <f>IF($BD$15&lt;7,0, IF($BD$100="Yes", (E104*F104*G104*H104)*(1+$BD$10)^6,(E104*F104*G104*H104)))</f>
        <v>0</v>
      </c>
      <c r="W104" s="44"/>
      <c r="X104" s="78">
        <f>IF($BD$15&lt;8,0, IF($BD$100="Yes", (E104*F104*G104*H104)*(1+$BD$10)^7,(E104*F104*G104*H104)))</f>
        <v>0</v>
      </c>
      <c r="Y104" s="44"/>
      <c r="Z104" s="78">
        <f>IF($BD$15&lt;9,0, IF($BD$100="Yes", (E104*F104*G104*H104)*(1+$BD$10)^8,(E104*F104*G104*H104)))</f>
        <v>0</v>
      </c>
      <c r="AA104" s="44"/>
      <c r="AB104" s="78">
        <f>IF($BD$15&lt;10,0, IF($BD$100="Yes", (E104*F104*G104*H104)*(1+$BD$10)^9,(E104*F104*G104*H104)))</f>
        <v>0</v>
      </c>
      <c r="AC104" s="78"/>
      <c r="AD104" s="78">
        <f>J104+L104+N104+P104+R104+T104+V104+X104+Z104+AB104</f>
        <v>0</v>
      </c>
      <c r="AE104" s="78"/>
      <c r="AF104" s="327">
        <v>0</v>
      </c>
      <c r="AH104" s="327">
        <v>0</v>
      </c>
      <c r="AI104" s="44"/>
      <c r="AJ104" s="327">
        <v>0</v>
      </c>
      <c r="AK104" s="44"/>
      <c r="AL104" s="327">
        <v>0</v>
      </c>
      <c r="AM104" s="44"/>
      <c r="AN104" s="327">
        <v>0</v>
      </c>
      <c r="AO104" s="44"/>
      <c r="AP104" s="327">
        <v>0</v>
      </c>
      <c r="AR104" s="327">
        <v>0</v>
      </c>
      <c r="AS104" s="44"/>
      <c r="AT104" s="327">
        <v>0</v>
      </c>
      <c r="AU104" s="44"/>
      <c r="AV104" s="327">
        <v>0</v>
      </c>
      <c r="AW104" s="44"/>
      <c r="AX104" s="327">
        <v>0</v>
      </c>
      <c r="AY104" s="78"/>
      <c r="AZ104" s="327">
        <f>AF104+AH104+AJ104+AL104+AN104+AP104+AR104+AT104+AV104+AX104</f>
        <v>0</v>
      </c>
      <c r="BA104" s="44"/>
      <c r="BF104" s="59"/>
      <c r="BJ104" s="59"/>
      <c r="BN104" s="59"/>
      <c r="BR104" s="59"/>
      <c r="BV104" s="59"/>
      <c r="BZ104" s="59"/>
      <c r="CD104" s="59"/>
      <c r="CH104" s="59"/>
      <c r="CL104" s="59"/>
      <c r="CP104" s="59"/>
    </row>
    <row r="105" spans="1:94" outlineLevel="1" x14ac:dyDescent="0.25">
      <c r="A105" s="36" t="s">
        <v>240</v>
      </c>
      <c r="B105" s="10"/>
      <c r="C105" s="13"/>
      <c r="D105" s="77" t="s">
        <v>263</v>
      </c>
      <c r="E105" s="66"/>
      <c r="F105" s="67"/>
      <c r="G105" s="67">
        <f t="shared" ref="G105" si="26">G104</f>
        <v>0</v>
      </c>
      <c r="H105" s="67">
        <f t="shared" ref="H105" si="27">H104</f>
        <v>0</v>
      </c>
      <c r="J105" s="78">
        <f>E105*F105*G105*H105</f>
        <v>0</v>
      </c>
      <c r="L105" s="78">
        <f>IF($BD$15&lt;2,0, IF($BD$100="Yes", (E105*F105*G105*H105)*(1+$BD$10),(E105*F105*G105*H105)))</f>
        <v>0</v>
      </c>
      <c r="M105" s="44"/>
      <c r="N105" s="78">
        <f>IF($BD$15&lt;3,0, IF($BD$100="Yes", (E105*F105*G105*H105)*(1+$BD$10)^2,(E105*F105*G105*H105)))</f>
        <v>0</v>
      </c>
      <c r="O105" s="44"/>
      <c r="P105" s="78">
        <f>IF($BD$15&lt;4,0, IF($BD$100="Yes", (E105*F105*G105*H105)*(1+$BD$10)^3,(E105*F105*G105*H105)))</f>
        <v>0</v>
      </c>
      <c r="Q105" s="44"/>
      <c r="R105" s="78">
        <f>IF($BD$15&lt;5,0, IF($BD$100="Yes", (E105*F105*G105*H105)*(1+$BD$10)^4,(E105*F105*G105*H105)))</f>
        <v>0</v>
      </c>
      <c r="S105" s="44"/>
      <c r="T105" s="78">
        <f>IF($BD$15&lt;6,0, IF($BD$100="Yes", (E105*F105*G105*H105)*(1+$BD$10)^5,(E105*F105*G105*H105)))</f>
        <v>0</v>
      </c>
      <c r="V105" s="78">
        <f>IF($BD$15&lt;7,0, IF($BD$100="Yes", (E105*F105*G105*H105)*(1+$BD$10)^6,(E105*F105*G105*H105)))</f>
        <v>0</v>
      </c>
      <c r="W105" s="44"/>
      <c r="X105" s="78">
        <f>IF($BD$15&lt;8,0, IF($BD$100="Yes", (E105*F105*G105*H105)*(1+$BD$10)^7,(E105*F105*G105*H105)))</f>
        <v>0</v>
      </c>
      <c r="Y105" s="44"/>
      <c r="Z105" s="78">
        <f>IF($BD$15&lt;9,0, IF($BD$100="Yes", (E105*F105*G105*H105)*(1+$BD$10)^8,(E105*F105*G105*H105)))</f>
        <v>0</v>
      </c>
      <c r="AA105" s="44"/>
      <c r="AB105" s="78">
        <f>IF($BD$15&lt;10,0, IF($BD$100="Yes", (E105*F105*G105*H105)*(1+$BD$10)^9,(E105*F105*G105*H105)))</f>
        <v>0</v>
      </c>
      <c r="AC105" s="78"/>
      <c r="AD105" s="78">
        <f>J105+L105+N105+P105+R105+T105+V105+X105+Z105+AB105</f>
        <v>0</v>
      </c>
      <c r="AE105" s="78"/>
      <c r="AF105" s="327">
        <v>0</v>
      </c>
      <c r="AH105" s="327">
        <v>0</v>
      </c>
      <c r="AI105" s="44"/>
      <c r="AJ105" s="327">
        <v>0</v>
      </c>
      <c r="AK105" s="44"/>
      <c r="AL105" s="327">
        <v>0</v>
      </c>
      <c r="AM105" s="44"/>
      <c r="AN105" s="327">
        <v>0</v>
      </c>
      <c r="AO105" s="44"/>
      <c r="AP105" s="327">
        <v>0</v>
      </c>
      <c r="AR105" s="327">
        <v>0</v>
      </c>
      <c r="AS105" s="44"/>
      <c r="AT105" s="327">
        <v>0</v>
      </c>
      <c r="AU105" s="44"/>
      <c r="AV105" s="327">
        <v>0</v>
      </c>
      <c r="AW105" s="44"/>
      <c r="AX105" s="327">
        <v>0</v>
      </c>
      <c r="AY105" s="78"/>
      <c r="AZ105" s="327">
        <f>AF105+AH105+AJ105+AL105+AN105+AP105+AR105+AT105+AV105+AX105</f>
        <v>0</v>
      </c>
      <c r="BF105" s="59"/>
      <c r="BJ105" s="59"/>
      <c r="BN105" s="59"/>
      <c r="BR105" s="59"/>
      <c r="BV105" s="59"/>
      <c r="BZ105" s="59"/>
      <c r="CD105" s="59"/>
      <c r="CH105" s="59"/>
      <c r="CL105" s="59"/>
      <c r="CP105" s="59"/>
    </row>
    <row r="106" spans="1:94" outlineLevel="1" x14ac:dyDescent="0.25">
      <c r="A106" s="36" t="s">
        <v>240</v>
      </c>
      <c r="B106" s="10"/>
      <c r="C106" s="13"/>
      <c r="D106" s="77" t="s">
        <v>84</v>
      </c>
      <c r="E106" s="66">
        <v>40</v>
      </c>
      <c r="F106" s="67"/>
      <c r="G106" s="67">
        <f>G105</f>
        <v>0</v>
      </c>
      <c r="H106" s="67">
        <f>H105</f>
        <v>0</v>
      </c>
      <c r="J106" s="78">
        <f>E106*F106*G106*H106</f>
        <v>0</v>
      </c>
      <c r="L106" s="78">
        <f>IF($BD$15&lt;2,0, IF($BD$100="Yes", (E106*F106*G106*H106)*(1+$BD$10),(E106*F106*G106*H106)))</f>
        <v>0</v>
      </c>
      <c r="M106" s="78"/>
      <c r="N106" s="78">
        <f>IF($BD$15&lt;3,0, IF($BD$100="Yes", (E106*F106*G106*H106)*(1+$BD$10)^2,(E106*F106*G106*H106)))</f>
        <v>0</v>
      </c>
      <c r="O106" s="78"/>
      <c r="P106" s="78">
        <f>IF($BD$15&lt;4,0, IF($BD$100="Yes", (E106*F106*G106*H106)*(1+$BD$10)^3,(E106*F106*G106*H106)))</f>
        <v>0</v>
      </c>
      <c r="Q106" s="78"/>
      <c r="R106" s="78">
        <f>IF($BD$15&lt;5,0, IF($BD$100="Yes", (E106*F106*G106*H106)*(1+$BD$10)^4,(E106*F106*G106*H106)))</f>
        <v>0</v>
      </c>
      <c r="S106" s="78"/>
      <c r="T106" s="78">
        <f>IF($BD$15&lt;6,0, IF($BD$100="Yes", (E106*F106*G106*H106)*(1+$BD$10)^5,(E106*F106*G106*H106)))</f>
        <v>0</v>
      </c>
      <c r="V106" s="78">
        <f>IF($BD$15&lt;7,0, IF($BD$100="Yes", (E106*F106*G106*H106)*(1+$BD$10)^6,(E106*F106*G106*H106)))</f>
        <v>0</v>
      </c>
      <c r="W106" s="78"/>
      <c r="X106" s="78">
        <f>IF($BD$15&lt;8,0, IF($BD$100="Yes", (E106*F106*G106*H106)*(1+$BD$10)^7,(E106*F106*G106*H106)))</f>
        <v>0</v>
      </c>
      <c r="Y106" s="78"/>
      <c r="Z106" s="78">
        <f>IF($BD$15&lt;9,0, IF($BD$100="Yes", (E106*F106*G106*H106)*(1+$BD$10)^8,(E106*F106*G106*H106)))</f>
        <v>0</v>
      </c>
      <c r="AA106" s="78"/>
      <c r="AB106" s="78">
        <f>IF($BD$15&lt;10,0, IF($BD$100="Yes", (E106*F106*G106*H106)*(1+$BD$10)^9,(E106*F106*G106*H106)))</f>
        <v>0</v>
      </c>
      <c r="AC106" s="78"/>
      <c r="AD106" s="78">
        <f>J106+L106+N106+P106+R106+T106+V106+X106+Z106+AB106</f>
        <v>0</v>
      </c>
      <c r="AE106" s="78"/>
      <c r="AF106" s="327">
        <v>0</v>
      </c>
      <c r="AH106" s="327">
        <v>0</v>
      </c>
      <c r="AI106" s="78"/>
      <c r="AJ106" s="327">
        <v>0</v>
      </c>
      <c r="AK106" s="78"/>
      <c r="AL106" s="327">
        <v>0</v>
      </c>
      <c r="AM106" s="78"/>
      <c r="AN106" s="327">
        <v>0</v>
      </c>
      <c r="AO106" s="78"/>
      <c r="AP106" s="327">
        <v>0</v>
      </c>
      <c r="AR106" s="327">
        <v>0</v>
      </c>
      <c r="AS106" s="78"/>
      <c r="AT106" s="327">
        <v>0</v>
      </c>
      <c r="AU106" s="78"/>
      <c r="AV106" s="327">
        <v>0</v>
      </c>
      <c r="AW106" s="78"/>
      <c r="AX106" s="327">
        <v>0</v>
      </c>
      <c r="AY106" s="78"/>
      <c r="AZ106" s="327">
        <f>AF106+AH106+AJ106+AL106+AN106+AP106+AR106+AT106+AV106+AX106</f>
        <v>0</v>
      </c>
      <c r="BC106" s="354" t="s">
        <v>381</v>
      </c>
      <c r="BF106" s="59"/>
      <c r="BJ106" s="59"/>
      <c r="BN106" s="59"/>
      <c r="BR106" s="59"/>
      <c r="BV106" s="59"/>
      <c r="BZ106" s="59"/>
      <c r="CD106" s="59"/>
      <c r="CH106" s="59"/>
      <c r="CL106" s="59"/>
      <c r="CP106" s="59"/>
    </row>
    <row r="107" spans="1:94" outlineLevel="1" x14ac:dyDescent="0.25">
      <c r="A107" s="36"/>
      <c r="B107" s="10"/>
      <c r="C107" s="13"/>
      <c r="F107" s="67"/>
      <c r="G107" s="67"/>
      <c r="H107" s="67"/>
      <c r="M107" s="44"/>
      <c r="N107" s="78"/>
      <c r="O107" s="44"/>
      <c r="P107" s="78"/>
      <c r="Q107" s="44"/>
      <c r="R107" s="78"/>
      <c r="S107" s="44"/>
      <c r="W107" s="44"/>
      <c r="X107" s="78"/>
      <c r="Y107" s="44"/>
      <c r="Z107" s="78"/>
      <c r="AA107" s="44"/>
      <c r="AB107" s="78"/>
      <c r="AC107" s="78"/>
      <c r="AD107" s="78"/>
      <c r="AE107" s="78"/>
      <c r="AI107" s="44"/>
      <c r="AJ107" s="327"/>
      <c r="AK107" s="44"/>
      <c r="AL107" s="327"/>
      <c r="AM107" s="44"/>
      <c r="AN107" s="327"/>
      <c r="AO107" s="44"/>
      <c r="AS107" s="44"/>
      <c r="AT107" s="327"/>
      <c r="AU107" s="44"/>
      <c r="AV107" s="327"/>
      <c r="AW107" s="44"/>
      <c r="AX107" s="327"/>
      <c r="AY107" s="78"/>
      <c r="AZ107" s="327"/>
      <c r="BC107" s="1" t="s">
        <v>383</v>
      </c>
      <c r="BF107" s="59"/>
      <c r="BJ107" s="59"/>
      <c r="BN107" s="59"/>
      <c r="BR107" s="59"/>
      <c r="BV107" s="59"/>
      <c r="BZ107" s="59"/>
      <c r="CD107" s="59"/>
      <c r="CH107" s="59"/>
      <c r="CL107" s="59"/>
      <c r="CP107" s="59"/>
    </row>
    <row r="108" spans="1:94" outlineLevel="1" x14ac:dyDescent="0.25">
      <c r="A108" s="36"/>
      <c r="B108" s="10"/>
      <c r="C108" s="19" t="s">
        <v>73</v>
      </c>
      <c r="E108" s="66"/>
      <c r="F108" s="67"/>
      <c r="G108" s="67"/>
      <c r="H108" s="67"/>
      <c r="M108" s="44"/>
      <c r="N108" s="78"/>
      <c r="O108" s="44"/>
      <c r="P108" s="78"/>
      <c r="Q108" s="44"/>
      <c r="R108" s="78"/>
      <c r="S108" s="44"/>
      <c r="W108" s="44"/>
      <c r="X108" s="78"/>
      <c r="Y108" s="44"/>
      <c r="Z108" s="78"/>
      <c r="AA108" s="44"/>
      <c r="AB108" s="78"/>
      <c r="AC108" s="78"/>
      <c r="AD108" s="78"/>
      <c r="AI108" s="44"/>
      <c r="AJ108" s="327"/>
      <c r="AK108" s="44"/>
      <c r="AL108" s="327"/>
      <c r="AM108" s="44"/>
      <c r="AN108" s="327"/>
      <c r="AO108" s="44"/>
      <c r="AS108" s="44"/>
      <c r="AT108" s="327"/>
      <c r="AU108" s="44"/>
      <c r="AV108" s="327"/>
      <c r="AW108" s="44"/>
      <c r="AX108" s="327"/>
      <c r="AY108" s="78"/>
      <c r="AZ108" s="327"/>
      <c r="BF108" s="59"/>
      <c r="BJ108" s="59"/>
      <c r="BN108" s="59"/>
      <c r="BR108" s="59"/>
      <c r="BV108" s="59"/>
      <c r="BZ108" s="59"/>
      <c r="CD108" s="59"/>
      <c r="CH108" s="59"/>
      <c r="CL108" s="59"/>
      <c r="CP108" s="59"/>
    </row>
    <row r="109" spans="1:94" outlineLevel="1" x14ac:dyDescent="0.25">
      <c r="A109" s="36" t="s">
        <v>240</v>
      </c>
      <c r="B109" s="10"/>
      <c r="C109" s="13"/>
      <c r="D109" s="77" t="s">
        <v>74</v>
      </c>
      <c r="E109" s="66"/>
      <c r="F109" s="67"/>
      <c r="G109" s="67">
        <v>0</v>
      </c>
      <c r="H109" s="67">
        <v>0</v>
      </c>
      <c r="J109" s="78">
        <f>E109*G109*H109</f>
        <v>0</v>
      </c>
      <c r="L109" s="78">
        <f>IF($BD$15&lt;2,0, IF($BD$100="Yes", (E109*G109*H109)*(1+$BD$10),(E109*G109*H109)))</f>
        <v>0</v>
      </c>
      <c r="M109" s="78"/>
      <c r="N109" s="78">
        <f>IF($BD$15&lt;3,0, IF($BD$100="Yes", (E109*G109*H109)*(1+$BD$10)^2,(E109*G109*H109)))</f>
        <v>0</v>
      </c>
      <c r="O109" s="78"/>
      <c r="P109" s="78">
        <f>IF($BD$15&lt;4,0, IF($BD$100="Yes", (E109*G109*H109)*(1+$BD$10)^3,(E109*G109*H109)))</f>
        <v>0</v>
      </c>
      <c r="Q109" s="78"/>
      <c r="R109" s="78">
        <f>IF($BD$15&lt;5,0, IF($BD$100="Yes", (E109*G109*H109)*(1+$BD$10)^4,(E109*G109*H109)))</f>
        <v>0</v>
      </c>
      <c r="S109" s="78"/>
      <c r="T109" s="78">
        <f>IF($BD$15&lt;6,0, IF($BD$100="Yes", (E109*G109*H109)*(1+$BD$10)^5,(E109*G109*H109)))</f>
        <v>0</v>
      </c>
      <c r="V109" s="78">
        <f>IF($BD$15&lt;7,0, IF($BD$100="Yes", (E109*G109*H109)*(1+$BD$10)^6,(E109*G109*H109)))</f>
        <v>0</v>
      </c>
      <c r="W109" s="78"/>
      <c r="X109" s="78">
        <f>IF($BD$15&lt;8,0, IF($BD$100="Yes", (E109*G109*H109)*(1+$BD$10)^7,(E109*G109*H109)))</f>
        <v>0</v>
      </c>
      <c r="Y109" s="78"/>
      <c r="Z109" s="78">
        <f>IF($BD$15&lt;9,0, IF($BD$100="Yes", (E109*G109*H109)*(1+$BD$10)^8,(E109*G109*H109)))</f>
        <v>0</v>
      </c>
      <c r="AA109" s="78"/>
      <c r="AB109" s="78">
        <f>IF($BD$15&lt;10,0, IF($BD$100="Yes", (E109*G109*H109)*(1+$BD$10)^9,(E109*G109*H109)))</f>
        <v>0</v>
      </c>
      <c r="AC109" s="78"/>
      <c r="AD109" s="78">
        <f>J109+L109+N109+P109+R109+T109+V109+X109+Z109+AB109</f>
        <v>0</v>
      </c>
      <c r="AF109" s="327">
        <v>0</v>
      </c>
      <c r="AH109" s="327">
        <v>0</v>
      </c>
      <c r="AI109" s="78"/>
      <c r="AJ109" s="327">
        <v>0</v>
      </c>
      <c r="AK109" s="78"/>
      <c r="AL109" s="327">
        <v>0</v>
      </c>
      <c r="AM109" s="78"/>
      <c r="AN109" s="327">
        <v>0</v>
      </c>
      <c r="AO109" s="78"/>
      <c r="AP109" s="327">
        <v>0</v>
      </c>
      <c r="AR109" s="327">
        <v>0</v>
      </c>
      <c r="AS109" s="78"/>
      <c r="AT109" s="327">
        <v>0</v>
      </c>
      <c r="AU109" s="78"/>
      <c r="AV109" s="327">
        <v>0</v>
      </c>
      <c r="AW109" s="78"/>
      <c r="AX109" s="327">
        <v>0</v>
      </c>
      <c r="AY109" s="78"/>
      <c r="AZ109" s="327">
        <f>AF109+AH109+AJ109+AL109+AN109+AP109+AR109+AT109+AV109+AX109</f>
        <v>0</v>
      </c>
      <c r="BF109" s="59"/>
      <c r="BJ109" s="59"/>
      <c r="BN109" s="59"/>
      <c r="BR109" s="59"/>
      <c r="BV109" s="59"/>
      <c r="BZ109" s="59"/>
      <c r="CD109" s="59"/>
      <c r="CH109" s="59"/>
      <c r="CL109" s="59"/>
      <c r="CP109" s="59"/>
    </row>
    <row r="110" spans="1:94" outlineLevel="1" x14ac:dyDescent="0.25">
      <c r="A110" s="36" t="s">
        <v>240</v>
      </c>
      <c r="B110" s="10"/>
      <c r="C110" s="13"/>
      <c r="D110" s="77" t="s">
        <v>83</v>
      </c>
      <c r="E110" s="66"/>
      <c r="F110" s="67"/>
      <c r="G110" s="67">
        <f>G109</f>
        <v>0</v>
      </c>
      <c r="H110" s="67">
        <f>H109</f>
        <v>0</v>
      </c>
      <c r="J110" s="78">
        <f>E110*F110*G110*H110</f>
        <v>0</v>
      </c>
      <c r="L110" s="78">
        <f>IF($BD$15&lt;2,0, IF($BD$100="Yes", (E110*F110*G110*H110)*(1+$BD$10),(E110*F110*G110*H110)))</f>
        <v>0</v>
      </c>
      <c r="M110" s="44"/>
      <c r="N110" s="78">
        <f>IF($BD$15&lt;3,0, IF($BD$100="Yes", (E110*F110*G110*H110)*(1+$BD$10)^2,(E110*F110*G110*H110)))</f>
        <v>0</v>
      </c>
      <c r="O110" s="44"/>
      <c r="P110" s="78">
        <f>IF($BD$15&lt;4,0, IF($BD$100="Yes", (E110*F110*G110*H110)*(1+$BD$10)^3,(E110*F110*G110*H110)))</f>
        <v>0</v>
      </c>
      <c r="Q110" s="44"/>
      <c r="R110" s="78">
        <f>IF($BD$15&lt;5,0, IF($BD$100="Yes", (E110*F110*G110*H110)*(1+$BD$10)^4,(E110*F110*G110*H110)))</f>
        <v>0</v>
      </c>
      <c r="S110" s="44"/>
      <c r="T110" s="78">
        <f>IF($BD$15&lt;6,0, IF($BD$100="Yes", (E110*F110*G110*H110)*(1+$BD$10)^5,(E110*F110*G110*H110)))</f>
        <v>0</v>
      </c>
      <c r="V110" s="78">
        <f>IF($BD$15&lt;7,0, IF($BD$100="Yes", (E110*F110*G110*H110)*(1+$BD$10)^6,(E110*F110*G110*H110)))</f>
        <v>0</v>
      </c>
      <c r="W110" s="44"/>
      <c r="X110" s="78">
        <f>IF($BD$15&lt;8,0, IF($BD$100="Yes", (E110*F110*G110*H110)*(1+$BD$10)^7,(E110*F110*G110*H110)))</f>
        <v>0</v>
      </c>
      <c r="Y110" s="44"/>
      <c r="Z110" s="78">
        <f>IF($BD$15&lt;9,0, IF($BD$100="Yes", (E110*F110*G110*H110)*(1+$BD$10)^8,(E110*F110*G110*H110)))</f>
        <v>0</v>
      </c>
      <c r="AA110" s="44"/>
      <c r="AB110" s="78">
        <f>IF($BD$15&lt;10,0, IF($BD$100="Yes", (E110*F110*G110*H110)*(1+$BD$10)^9,(E110*F110*G110*H110)))</f>
        <v>0</v>
      </c>
      <c r="AC110" s="78"/>
      <c r="AD110" s="78">
        <f>J110+L110+N110+P110+R110+T110+V110+X110+Z110+AB110</f>
        <v>0</v>
      </c>
      <c r="AE110" s="78"/>
      <c r="AF110" s="327">
        <v>0</v>
      </c>
      <c r="AH110" s="327">
        <v>0</v>
      </c>
      <c r="AI110" s="44"/>
      <c r="AJ110" s="327">
        <v>0</v>
      </c>
      <c r="AK110" s="44"/>
      <c r="AL110" s="327">
        <v>0</v>
      </c>
      <c r="AM110" s="44"/>
      <c r="AN110" s="327">
        <v>0</v>
      </c>
      <c r="AO110" s="44"/>
      <c r="AP110" s="327">
        <v>0</v>
      </c>
      <c r="AR110" s="327">
        <v>0</v>
      </c>
      <c r="AS110" s="44"/>
      <c r="AT110" s="327">
        <v>0</v>
      </c>
      <c r="AU110" s="44"/>
      <c r="AV110" s="327">
        <v>0</v>
      </c>
      <c r="AW110" s="44"/>
      <c r="AX110" s="327">
        <v>0</v>
      </c>
      <c r="AY110" s="78"/>
      <c r="AZ110" s="327">
        <f>AF110+AH110+AJ110+AL110+AN110+AP110+AR110+AT110+AV110+AX110</f>
        <v>0</v>
      </c>
      <c r="BA110" s="44"/>
      <c r="BF110" s="59"/>
      <c r="BJ110" s="59"/>
      <c r="BN110" s="59"/>
      <c r="BR110" s="59"/>
      <c r="BV110" s="59"/>
      <c r="BZ110" s="59"/>
      <c r="CD110" s="59"/>
      <c r="CH110" s="59"/>
      <c r="CL110" s="59"/>
      <c r="CP110" s="59"/>
    </row>
    <row r="111" spans="1:94" outlineLevel="1" x14ac:dyDescent="0.25">
      <c r="A111" s="36" t="s">
        <v>240</v>
      </c>
      <c r="B111" s="10"/>
      <c r="C111" s="13"/>
      <c r="D111" s="77" t="s">
        <v>263</v>
      </c>
      <c r="E111" s="66"/>
      <c r="F111" s="67"/>
      <c r="G111" s="67">
        <f t="shared" ref="G111:H111" si="28">G110</f>
        <v>0</v>
      </c>
      <c r="H111" s="67">
        <f t="shared" si="28"/>
        <v>0</v>
      </c>
      <c r="J111" s="78">
        <f>E111*F111*G111*H111</f>
        <v>0</v>
      </c>
      <c r="L111" s="78">
        <f>IF($BD$15&lt;2,0, IF($BD$100="Yes", (E111*F111*G111*H111)*(1+$BD$10),(E111*F111*G111*H111)))</f>
        <v>0</v>
      </c>
      <c r="M111" s="44"/>
      <c r="N111" s="78">
        <f>IF($BD$15&lt;3,0, IF($BD$100="Yes", (E111*F111*G111*H111)*(1+$BD$10)^2,(E111*F111*G111*H111)))</f>
        <v>0</v>
      </c>
      <c r="O111" s="44"/>
      <c r="P111" s="78">
        <f>IF($BD$15&lt;4,0, IF($BD$100="Yes", (E111*F111*G111*H111)*(1+$BD$10)^3,(E111*F111*G111*H111)))</f>
        <v>0</v>
      </c>
      <c r="Q111" s="44"/>
      <c r="R111" s="78">
        <f>IF($BD$15&lt;5,0, IF($BD$100="Yes", (E111*F111*G111*H111)*(1+$BD$10)^4,(E111*F111*G111*H111)))</f>
        <v>0</v>
      </c>
      <c r="S111" s="44"/>
      <c r="T111" s="78">
        <f>IF($BD$15&lt;6,0, IF($BD$100="Yes", (E111*F111*G111*H111)*(1+$BD$10)^5,(E111*F111*G111*H111)))</f>
        <v>0</v>
      </c>
      <c r="V111" s="78">
        <f>IF($BD$15&lt;7,0, IF($BD$100="Yes", (E111*F111*G111*H111)*(1+$BD$10)^6,(E111*F111*G111*H111)))</f>
        <v>0</v>
      </c>
      <c r="W111" s="44"/>
      <c r="X111" s="78">
        <f>IF($BD$15&lt;8,0, IF($BD$100="Yes", (E111*F111*G111*H111)*(1+$BD$10)^7,(E111*F111*G111*H111)))</f>
        <v>0</v>
      </c>
      <c r="Y111" s="44"/>
      <c r="Z111" s="78">
        <f>IF($BD$15&lt;9,0, IF($BD$100="Yes", (E111*F111*G111*H111)*(1+$BD$10)^8,(E111*F111*G111*H111)))</f>
        <v>0</v>
      </c>
      <c r="AA111" s="44"/>
      <c r="AB111" s="78">
        <f>IF($BD$15&lt;10,0, IF($BD$100="Yes", (E111*F111*G111*H111)*(1+$BD$10)^9,(E111*F111*G111*H111)))</f>
        <v>0</v>
      </c>
      <c r="AC111" s="78"/>
      <c r="AD111" s="78">
        <f>J111+L111+N111+P111+R111+T111+V111+X111+Z111+AB111</f>
        <v>0</v>
      </c>
      <c r="AE111" s="78"/>
      <c r="AF111" s="327">
        <v>0</v>
      </c>
      <c r="AH111" s="327">
        <v>0</v>
      </c>
      <c r="AI111" s="44"/>
      <c r="AJ111" s="327">
        <v>0</v>
      </c>
      <c r="AK111" s="44"/>
      <c r="AL111" s="327">
        <v>0</v>
      </c>
      <c r="AM111" s="44"/>
      <c r="AN111" s="327">
        <v>0</v>
      </c>
      <c r="AO111" s="44"/>
      <c r="AP111" s="327">
        <v>0</v>
      </c>
      <c r="AR111" s="327">
        <v>0</v>
      </c>
      <c r="AS111" s="44"/>
      <c r="AT111" s="327">
        <v>0</v>
      </c>
      <c r="AU111" s="44"/>
      <c r="AV111" s="327">
        <v>0</v>
      </c>
      <c r="AW111" s="44"/>
      <c r="AX111" s="327">
        <v>0</v>
      </c>
      <c r="AY111" s="78"/>
      <c r="AZ111" s="327">
        <f>AF111+AH111+AJ111+AL111+AN111+AP111+AR111+AT111+AV111+AX111</f>
        <v>0</v>
      </c>
      <c r="BF111" s="59"/>
      <c r="BJ111" s="59"/>
      <c r="BN111" s="59"/>
      <c r="BR111" s="59"/>
      <c r="BV111" s="59"/>
      <c r="BZ111" s="59"/>
      <c r="CD111" s="59"/>
      <c r="CH111" s="59"/>
      <c r="CL111" s="59"/>
      <c r="CP111" s="59"/>
    </row>
    <row r="112" spans="1:94" outlineLevel="1" x14ac:dyDescent="0.25">
      <c r="A112" s="36" t="s">
        <v>240</v>
      </c>
      <c r="B112" s="10"/>
      <c r="C112" s="13"/>
      <c r="D112" s="77" t="s">
        <v>84</v>
      </c>
      <c r="E112" s="66">
        <v>40</v>
      </c>
      <c r="F112" s="67"/>
      <c r="G112" s="67">
        <f>G111</f>
        <v>0</v>
      </c>
      <c r="H112" s="67">
        <f>H111</f>
        <v>0</v>
      </c>
      <c r="J112" s="78">
        <f>E112*F112*G112*H112</f>
        <v>0</v>
      </c>
      <c r="L112" s="78">
        <f>IF($BD$15&lt;2,0, IF($BD$100="Yes", (E112*F112*G112*H112)*(1+$BD$10),(E112*F112*G112*H112)))</f>
        <v>0</v>
      </c>
      <c r="M112" s="78"/>
      <c r="N112" s="78">
        <f>IF($BD$15&lt;3,0, IF($BD$100="Yes", (E112*F112*G112*H112)*(1+$BD$10)^2,(E112*F112*G112*H112)))</f>
        <v>0</v>
      </c>
      <c r="O112" s="78"/>
      <c r="P112" s="78">
        <f>IF($BD$15&lt;4,0, IF($BD$100="Yes", (E112*F112*G112*H112)*(1+$BD$10)^3,(E112*F112*G112*H112)))</f>
        <v>0</v>
      </c>
      <c r="Q112" s="78"/>
      <c r="R112" s="78">
        <f>IF($BD$15&lt;5,0, IF($BD$100="Yes", (E112*F112*G112*H112)*(1+$BD$10)^4,(E112*F112*G112*H112)))</f>
        <v>0</v>
      </c>
      <c r="S112" s="78"/>
      <c r="T112" s="78">
        <f>IF($BD$15&lt;6,0, IF($BD$100="Yes", (E112*F112*G112*H112)*(1+$BD$10)^5,(E112*F112*G112*H112)))</f>
        <v>0</v>
      </c>
      <c r="V112" s="78">
        <f>IF($BD$15&lt;7,0, IF($BD$100="Yes", (E112*F112*G112*H112)*(1+$BD$10)^6,(E112*F112*G112*H112)))</f>
        <v>0</v>
      </c>
      <c r="W112" s="78"/>
      <c r="X112" s="78">
        <f>IF($BD$15&lt;8,0, IF($BD$100="Yes", (E112*F112*G112*H112)*(1+$BD$10)^7,(E112*F112*G112*H112)))</f>
        <v>0</v>
      </c>
      <c r="Y112" s="78"/>
      <c r="Z112" s="78">
        <f>IF($BD$15&lt;9,0, IF($BD$100="Yes", (E112*F112*G112*H112)*(1+$BD$10)^8,(E112*F112*G112*H112)))</f>
        <v>0</v>
      </c>
      <c r="AA112" s="78"/>
      <c r="AB112" s="78">
        <f>IF($BD$15&lt;10,0, IF($BD$100="Yes", (E112*F112*G112*H112)*(1+$BD$10)^9,(E112*F112*G112*H112)))</f>
        <v>0</v>
      </c>
      <c r="AC112" s="78"/>
      <c r="AD112" s="78">
        <f>J112+L112+N112+P112+R112+T112+V112+X112+Z112+AB112</f>
        <v>0</v>
      </c>
      <c r="AE112" s="78"/>
      <c r="AF112" s="327">
        <v>0</v>
      </c>
      <c r="AH112" s="327">
        <v>0</v>
      </c>
      <c r="AI112" s="78"/>
      <c r="AJ112" s="327">
        <v>0</v>
      </c>
      <c r="AK112" s="78"/>
      <c r="AL112" s="327">
        <v>0</v>
      </c>
      <c r="AM112" s="78"/>
      <c r="AN112" s="327">
        <v>0</v>
      </c>
      <c r="AO112" s="78"/>
      <c r="AP112" s="327">
        <v>0</v>
      </c>
      <c r="AR112" s="327">
        <v>0</v>
      </c>
      <c r="AS112" s="78"/>
      <c r="AT112" s="327">
        <v>0</v>
      </c>
      <c r="AU112" s="78"/>
      <c r="AV112" s="327">
        <v>0</v>
      </c>
      <c r="AW112" s="78"/>
      <c r="AX112" s="327">
        <v>0</v>
      </c>
      <c r="AY112" s="78"/>
      <c r="AZ112" s="327">
        <f>AF112+AH112+AJ112+AL112+AN112+AP112+AR112+AT112+AV112+AX112</f>
        <v>0</v>
      </c>
      <c r="BF112" s="59"/>
      <c r="BJ112" s="59"/>
      <c r="BN112" s="59"/>
      <c r="BR112" s="59"/>
      <c r="BV112" s="59"/>
      <c r="BZ112" s="59"/>
      <c r="CD112" s="59"/>
      <c r="CH112" s="59"/>
      <c r="CL112" s="59"/>
      <c r="CP112" s="59"/>
    </row>
    <row r="113" spans="1:94" outlineLevel="1" x14ac:dyDescent="0.25">
      <c r="A113" s="36"/>
      <c r="B113" s="10"/>
      <c r="C113" s="13"/>
      <c r="E113" s="66"/>
      <c r="F113" s="67"/>
      <c r="G113" s="67"/>
      <c r="H113" s="67"/>
      <c r="M113" s="44"/>
      <c r="N113" s="78"/>
      <c r="O113" s="44"/>
      <c r="P113" s="78"/>
      <c r="Q113" s="44"/>
      <c r="R113" s="78"/>
      <c r="S113" s="44"/>
      <c r="W113" s="44"/>
      <c r="X113" s="78"/>
      <c r="Y113" s="44"/>
      <c r="Z113" s="78"/>
      <c r="AA113" s="44"/>
      <c r="AB113" s="78"/>
      <c r="AC113" s="78"/>
      <c r="AD113" s="78"/>
      <c r="AE113" s="78"/>
      <c r="AI113" s="44"/>
      <c r="AJ113" s="327"/>
      <c r="AK113" s="44"/>
      <c r="AL113" s="327"/>
      <c r="AM113" s="44"/>
      <c r="AN113" s="327"/>
      <c r="AO113" s="44"/>
      <c r="AS113" s="44"/>
      <c r="AT113" s="327"/>
      <c r="AU113" s="44"/>
      <c r="AV113" s="327"/>
      <c r="AW113" s="44"/>
      <c r="AX113" s="327"/>
      <c r="AY113" s="78"/>
      <c r="AZ113" s="327"/>
      <c r="BF113" s="59"/>
      <c r="BJ113" s="59"/>
      <c r="BN113" s="59"/>
      <c r="BR113" s="59"/>
      <c r="BV113" s="59"/>
      <c r="BZ113" s="59"/>
      <c r="CD113" s="59"/>
      <c r="CH113" s="59"/>
      <c r="CL113" s="59"/>
      <c r="CP113" s="59"/>
    </row>
    <row r="114" spans="1:94" outlineLevel="1" x14ac:dyDescent="0.25">
      <c r="A114" s="36"/>
      <c r="B114" s="10"/>
      <c r="C114" s="19" t="s">
        <v>73</v>
      </c>
      <c r="E114" s="66"/>
      <c r="F114" s="67"/>
      <c r="G114" s="67"/>
      <c r="H114" s="67"/>
      <c r="M114" s="44"/>
      <c r="N114" s="78"/>
      <c r="O114" s="44"/>
      <c r="P114" s="78"/>
      <c r="Q114" s="44"/>
      <c r="R114" s="78"/>
      <c r="S114" s="44"/>
      <c r="W114" s="44"/>
      <c r="X114" s="78"/>
      <c r="Y114" s="44"/>
      <c r="Z114" s="78"/>
      <c r="AA114" s="44"/>
      <c r="AB114" s="78"/>
      <c r="AC114" s="78"/>
      <c r="AD114" s="78"/>
      <c r="AI114" s="44"/>
      <c r="AJ114" s="327"/>
      <c r="AK114" s="44"/>
      <c r="AL114" s="327"/>
      <c r="AM114" s="44"/>
      <c r="AN114" s="327"/>
      <c r="AO114" s="44"/>
      <c r="AS114" s="44"/>
      <c r="AT114" s="327"/>
      <c r="AU114" s="44"/>
      <c r="AV114" s="327"/>
      <c r="AW114" s="44"/>
      <c r="AX114" s="327"/>
      <c r="AY114" s="78"/>
      <c r="AZ114" s="327"/>
      <c r="BF114" s="59"/>
      <c r="BJ114" s="59"/>
      <c r="BN114" s="59"/>
      <c r="BR114" s="59"/>
      <c r="BV114" s="59"/>
      <c r="BZ114" s="59"/>
      <c r="CD114" s="59"/>
      <c r="CH114" s="59"/>
      <c r="CL114" s="59"/>
      <c r="CP114" s="59"/>
    </row>
    <row r="115" spans="1:94" outlineLevel="1" x14ac:dyDescent="0.25">
      <c r="A115" s="36" t="s">
        <v>240</v>
      </c>
      <c r="B115" s="10"/>
      <c r="C115" s="13"/>
      <c r="D115" s="77" t="s">
        <v>74</v>
      </c>
      <c r="E115" s="66"/>
      <c r="F115" s="67"/>
      <c r="G115" s="67">
        <v>0</v>
      </c>
      <c r="H115" s="67">
        <v>0</v>
      </c>
      <c r="J115" s="78">
        <f>E115*G115*H115</f>
        <v>0</v>
      </c>
      <c r="L115" s="78">
        <f>IF($BD$15&lt;2,0, IF($BD$100="Yes", (E115*G115*H115)*(1+$BD$10),(E115*G115*H115)))</f>
        <v>0</v>
      </c>
      <c r="M115" s="78"/>
      <c r="N115" s="78">
        <f>IF($BD$15&lt;3,0, IF($BD$100="Yes", (E115*G115*H115)*(1+$BD$10)^2,(E115*G115*H115)))</f>
        <v>0</v>
      </c>
      <c r="O115" s="78"/>
      <c r="P115" s="78">
        <f>IF($BD$15&lt;4,0, IF($BD$100="Yes", (E115*G115*H115)*(1+$BD$10)^3,(E115*G115*H115)))</f>
        <v>0</v>
      </c>
      <c r="Q115" s="78"/>
      <c r="R115" s="78">
        <f>IF($BD$15&lt;5,0, IF($BD$100="Yes", (E115*G115*H115)*(1+$BD$10)^4,(E115*G115*H115)))</f>
        <v>0</v>
      </c>
      <c r="S115" s="78"/>
      <c r="T115" s="78">
        <f>IF($BD$15&lt;6,0, IF($BD$100="Yes", (E115*G115*H115)*(1+$BD$10)^5,(E115*G115*H115)))</f>
        <v>0</v>
      </c>
      <c r="V115" s="78">
        <f>IF($BD$15&lt;7,0, IF($BD$100="Yes", (E115*G115*H115)*(1+$BD$10)^6,(E115*G115*H115)))</f>
        <v>0</v>
      </c>
      <c r="W115" s="78"/>
      <c r="X115" s="78">
        <f>IF($BD$15&lt;8,0, IF($BD$100="Yes", (E115*G115*H115)*(1+$BD$10)^7,(E115*G115*H115)))</f>
        <v>0</v>
      </c>
      <c r="Y115" s="78"/>
      <c r="Z115" s="78">
        <f>IF($BD$15&lt;9,0, IF($BD$100="Yes", (E115*G115*H115)*(1+$BD$10)^8,(E115*G115*H115)))</f>
        <v>0</v>
      </c>
      <c r="AA115" s="78"/>
      <c r="AB115" s="78">
        <f>IF($BD$15&lt;10,0, IF($BD$100="Yes", (E115*G115*H115)*(1+$BD$10)^9,(E115*G115*H115)))</f>
        <v>0</v>
      </c>
      <c r="AC115" s="78"/>
      <c r="AD115" s="78">
        <f>J115+L115+N115+P115+R115+T115+V115+X115+Z115+AB115</f>
        <v>0</v>
      </c>
      <c r="AF115" s="327">
        <v>0</v>
      </c>
      <c r="AH115" s="327">
        <v>0</v>
      </c>
      <c r="AI115" s="78"/>
      <c r="AJ115" s="327">
        <v>0</v>
      </c>
      <c r="AK115" s="78"/>
      <c r="AL115" s="327">
        <v>0</v>
      </c>
      <c r="AM115" s="78"/>
      <c r="AN115" s="327">
        <v>0</v>
      </c>
      <c r="AO115" s="78"/>
      <c r="AP115" s="327">
        <v>0</v>
      </c>
      <c r="AR115" s="327">
        <v>0</v>
      </c>
      <c r="AS115" s="78"/>
      <c r="AT115" s="327">
        <v>0</v>
      </c>
      <c r="AU115" s="78"/>
      <c r="AV115" s="327">
        <v>0</v>
      </c>
      <c r="AW115" s="78"/>
      <c r="AX115" s="327">
        <v>0</v>
      </c>
      <c r="AY115" s="78"/>
      <c r="AZ115" s="327">
        <f>AF115+AH115+AJ115+AL115+AN115+AP115+AR115+AT115+AV115+AX115</f>
        <v>0</v>
      </c>
      <c r="BF115" s="59"/>
      <c r="BJ115" s="59"/>
      <c r="BN115" s="59"/>
      <c r="BR115" s="59"/>
      <c r="BV115" s="59"/>
      <c r="BZ115" s="59"/>
      <c r="CD115" s="59"/>
      <c r="CH115" s="59"/>
      <c r="CL115" s="59"/>
      <c r="CP115" s="59"/>
    </row>
    <row r="116" spans="1:94" outlineLevel="1" x14ac:dyDescent="0.25">
      <c r="A116" s="36" t="s">
        <v>240</v>
      </c>
      <c r="B116" s="10"/>
      <c r="C116" s="13"/>
      <c r="D116" s="77" t="s">
        <v>83</v>
      </c>
      <c r="E116" s="66"/>
      <c r="F116" s="67"/>
      <c r="G116" s="67">
        <f>G115</f>
        <v>0</v>
      </c>
      <c r="H116" s="67">
        <f>H115</f>
        <v>0</v>
      </c>
      <c r="J116" s="78">
        <f>E116*F116*G116*H116</f>
        <v>0</v>
      </c>
      <c r="L116" s="78">
        <f>IF($BD$15&lt;2,0, IF($BD$100="Yes", (E116*F116*G116*H116)*(1+$BD$10),(E116*F116*G116*H116)))</f>
        <v>0</v>
      </c>
      <c r="M116" s="44"/>
      <c r="N116" s="78">
        <f>IF($BD$15&lt;3,0, IF($BD$100="Yes", (E116*F116*G116*H116)*(1+$BD$10)^2,(E116*F116*G116*H116)))</f>
        <v>0</v>
      </c>
      <c r="O116" s="44"/>
      <c r="P116" s="78">
        <f>IF($BD$15&lt;4,0, IF($BD$100="Yes", (E116*F116*G116*H116)*(1+$BD$10)^3,(E116*F116*G116*H116)))</f>
        <v>0</v>
      </c>
      <c r="Q116" s="44"/>
      <c r="R116" s="78">
        <f>IF($BD$15&lt;5,0, IF($BD$100="Yes", (E116*F116*G116*H116)*(1+$BD$10)^4,(E116*F116*G116*H116)))</f>
        <v>0</v>
      </c>
      <c r="S116" s="44"/>
      <c r="T116" s="78">
        <f>IF($BD$15&lt;6,0, IF($BD$100="Yes", (E116*F116*G116*H116)*(1+$BD$10)^5,(E116*F116*G116*H116)))</f>
        <v>0</v>
      </c>
      <c r="V116" s="78">
        <f>IF($BD$15&lt;7,0, IF($BD$100="Yes", (E116*F116*G116*H116)*(1+$BD$10)^6,(E116*F116*G116*H116)))</f>
        <v>0</v>
      </c>
      <c r="W116" s="44"/>
      <c r="X116" s="78">
        <f>IF($BD$15&lt;8,0, IF($BD$100="Yes", (E116*F116*G116*H116)*(1+$BD$10)^7,(E116*F116*G116*H116)))</f>
        <v>0</v>
      </c>
      <c r="Y116" s="44"/>
      <c r="Z116" s="78">
        <f>IF($BD$15&lt;9,0, IF($BD$100="Yes", (E116*F116*G116*H116)*(1+$BD$10)^8,(E116*F116*G116*H116)))</f>
        <v>0</v>
      </c>
      <c r="AA116" s="44"/>
      <c r="AB116" s="78">
        <f>IF($BD$15&lt;10,0, IF($BD$100="Yes", (E116*F116*G116*H116)*(1+$BD$10)^9,(E116*F116*G116*H116)))</f>
        <v>0</v>
      </c>
      <c r="AC116" s="78"/>
      <c r="AD116" s="78">
        <f>J116+L116+N116+P116+R116+T116+V116+X116+Z116+AB116</f>
        <v>0</v>
      </c>
      <c r="AE116" s="78"/>
      <c r="AF116" s="327">
        <v>0</v>
      </c>
      <c r="AH116" s="327">
        <v>0</v>
      </c>
      <c r="AI116" s="44"/>
      <c r="AJ116" s="327">
        <v>0</v>
      </c>
      <c r="AK116" s="44"/>
      <c r="AL116" s="327">
        <v>0</v>
      </c>
      <c r="AM116" s="44"/>
      <c r="AN116" s="327">
        <v>0</v>
      </c>
      <c r="AO116" s="44"/>
      <c r="AP116" s="327">
        <v>0</v>
      </c>
      <c r="AR116" s="327">
        <v>0</v>
      </c>
      <c r="AS116" s="44"/>
      <c r="AT116" s="327">
        <v>0</v>
      </c>
      <c r="AU116" s="44"/>
      <c r="AV116" s="327">
        <v>0</v>
      </c>
      <c r="AW116" s="44"/>
      <c r="AX116" s="327">
        <v>0</v>
      </c>
      <c r="AY116" s="78"/>
      <c r="AZ116" s="327">
        <f>AF116+AH116+AJ116+AL116+AN116+AP116+AR116+AT116+AV116+AX116</f>
        <v>0</v>
      </c>
      <c r="BA116" s="44"/>
      <c r="BF116" s="59"/>
      <c r="BJ116" s="59"/>
      <c r="BN116" s="59"/>
      <c r="BR116" s="59"/>
      <c r="BV116" s="59"/>
      <c r="BZ116" s="59"/>
      <c r="CD116" s="59"/>
      <c r="CH116" s="59"/>
      <c r="CL116" s="59"/>
      <c r="CP116" s="59"/>
    </row>
    <row r="117" spans="1:94" outlineLevel="1" x14ac:dyDescent="0.25">
      <c r="A117" s="36" t="s">
        <v>240</v>
      </c>
      <c r="B117" s="10"/>
      <c r="C117" s="13"/>
      <c r="D117" s="77" t="s">
        <v>263</v>
      </c>
      <c r="E117" s="66"/>
      <c r="F117" s="67"/>
      <c r="G117" s="67">
        <f t="shared" ref="G117:H117" si="29">G116</f>
        <v>0</v>
      </c>
      <c r="H117" s="67">
        <f t="shared" si="29"/>
        <v>0</v>
      </c>
      <c r="J117" s="78">
        <f>E117*F117*G117*H117</f>
        <v>0</v>
      </c>
      <c r="L117" s="78">
        <f>IF($BD$15&lt;2,0, IF($BD$100="Yes", (E117*F117*G117*H117)*(1+$BD$10),(E117*F117*G117*H117)))</f>
        <v>0</v>
      </c>
      <c r="M117" s="44"/>
      <c r="N117" s="78">
        <f>IF($BD$15&lt;3,0, IF($BD$100="Yes", (E117*F117*G117*H117)*(1+$BD$10)^2,(E117*F117*G117*H117)))</f>
        <v>0</v>
      </c>
      <c r="O117" s="44"/>
      <c r="P117" s="78">
        <f>IF($BD$15&lt;4,0, IF($BD$100="Yes", (E117*F117*G117*H117)*(1+$BD$10)^3,(E117*F117*G117*H117)))</f>
        <v>0</v>
      </c>
      <c r="Q117" s="44"/>
      <c r="R117" s="78">
        <f>IF($BD$15&lt;5,0, IF($BD$100="Yes", (E117*F117*G117*H117)*(1+$BD$10)^4,(E117*F117*G117*H117)))</f>
        <v>0</v>
      </c>
      <c r="S117" s="44"/>
      <c r="T117" s="78">
        <f>IF($BD$15&lt;6,0, IF($BD$100="Yes", (E117*F117*G117*H117)*(1+$BD$10)^5,(E117*F117*G117*H117)))</f>
        <v>0</v>
      </c>
      <c r="V117" s="78">
        <f>IF($BD$15&lt;7,0, IF($BD$100="Yes", (E117*F117*G117*H117)*(1+$BD$10)^6,(E117*F117*G117*H117)))</f>
        <v>0</v>
      </c>
      <c r="W117" s="44"/>
      <c r="X117" s="78">
        <f>IF($BD$15&lt;8,0, IF($BD$100="Yes", (E117*F117*G117*H117)*(1+$BD$10)^7,(E117*F117*G117*H117)))</f>
        <v>0</v>
      </c>
      <c r="Y117" s="44"/>
      <c r="Z117" s="78">
        <f>IF($BD$15&lt;9,0, IF($BD$100="Yes", (E117*F117*G117*H117)*(1+$BD$10)^8,(E117*F117*G117*H117)))</f>
        <v>0</v>
      </c>
      <c r="AA117" s="44"/>
      <c r="AB117" s="78">
        <f>IF($BD$15&lt;10,0, IF($BD$100="Yes", (E117*F117*G117*H117)*(1+$BD$10)^9,(E117*F117*G117*H117)))</f>
        <v>0</v>
      </c>
      <c r="AC117" s="78"/>
      <c r="AD117" s="78">
        <f>J117+L117+N117+P117+R117+T117+V117+X117+Z117+AB117</f>
        <v>0</v>
      </c>
      <c r="AE117" s="78"/>
      <c r="AF117" s="327">
        <v>0</v>
      </c>
      <c r="AH117" s="327">
        <v>0</v>
      </c>
      <c r="AI117" s="44"/>
      <c r="AJ117" s="327">
        <v>0</v>
      </c>
      <c r="AK117" s="44"/>
      <c r="AL117" s="327">
        <v>0</v>
      </c>
      <c r="AM117" s="44"/>
      <c r="AN117" s="327">
        <v>0</v>
      </c>
      <c r="AO117" s="44"/>
      <c r="AP117" s="327">
        <v>0</v>
      </c>
      <c r="AR117" s="327">
        <v>0</v>
      </c>
      <c r="AS117" s="44"/>
      <c r="AT117" s="327">
        <v>0</v>
      </c>
      <c r="AU117" s="44"/>
      <c r="AV117" s="327">
        <v>0</v>
      </c>
      <c r="AW117" s="44"/>
      <c r="AX117" s="327">
        <v>0</v>
      </c>
      <c r="AY117" s="78"/>
      <c r="AZ117" s="327">
        <f>AF117+AH117+AJ117+AL117+AN117+AP117+AR117+AT117+AV117+AX117</f>
        <v>0</v>
      </c>
      <c r="BF117" s="59"/>
      <c r="BJ117" s="59"/>
      <c r="BN117" s="59"/>
      <c r="BR117" s="59"/>
      <c r="BV117" s="59"/>
      <c r="BZ117" s="59"/>
      <c r="CD117" s="59"/>
      <c r="CH117" s="59"/>
      <c r="CL117" s="59"/>
      <c r="CP117" s="59"/>
    </row>
    <row r="118" spans="1:94" outlineLevel="1" x14ac:dyDescent="0.25">
      <c r="A118" s="36" t="s">
        <v>240</v>
      </c>
      <c r="B118" s="10"/>
      <c r="C118" s="13"/>
      <c r="D118" s="77" t="s">
        <v>84</v>
      </c>
      <c r="E118" s="66">
        <v>40</v>
      </c>
      <c r="F118" s="67"/>
      <c r="G118" s="67">
        <f>G117</f>
        <v>0</v>
      </c>
      <c r="H118" s="67">
        <f>H117</f>
        <v>0</v>
      </c>
      <c r="J118" s="78">
        <f>E118*F118*G118*H118</f>
        <v>0</v>
      </c>
      <c r="L118" s="78">
        <f>IF($BD$15&lt;2,0, IF($BD$100="Yes", (E118*F118*G118*H118)*(1+$BD$10),(E118*F118*G118*H118)))</f>
        <v>0</v>
      </c>
      <c r="M118" s="78"/>
      <c r="N118" s="78">
        <f>IF($BD$15&lt;3,0, IF($BD$100="Yes", (E118*F118*G118*H118)*(1+$BD$10)^2,(E118*F118*G118*H118)))</f>
        <v>0</v>
      </c>
      <c r="O118" s="78"/>
      <c r="P118" s="78">
        <f>IF($BD$15&lt;4,0, IF($BD$100="Yes", (E118*F118*G118*H118)*(1+$BD$10)^3,(E118*F118*G118*H118)))</f>
        <v>0</v>
      </c>
      <c r="Q118" s="78"/>
      <c r="R118" s="78">
        <f>IF($BD$15&lt;5,0, IF($BD$100="Yes", (E118*F118*G118*H118)*(1+$BD$10)^4,(E118*F118*G118*H118)))</f>
        <v>0</v>
      </c>
      <c r="S118" s="78"/>
      <c r="T118" s="78">
        <f>IF($BD$15&lt;6,0, IF($BD$100="Yes", (E118*F118*G118*H118)*(1+$BD$10)^5,(E118*F118*G118*H118)))</f>
        <v>0</v>
      </c>
      <c r="V118" s="78">
        <f>IF($BD$15&lt;7,0, IF($BD$100="Yes", (E118*F118*G118*H118)*(1+$BD$10)^6,(E118*F118*G118*H118)))</f>
        <v>0</v>
      </c>
      <c r="W118" s="78"/>
      <c r="X118" s="78">
        <f>IF($BD$15&lt;8,0, IF($BD$100="Yes", (E118*F118*G118*H118)*(1+$BD$10)^7,(E118*F118*G118*H118)))</f>
        <v>0</v>
      </c>
      <c r="Y118" s="78"/>
      <c r="Z118" s="78">
        <f>IF($BD$15&lt;9,0, IF($BD$100="Yes", (E118*F118*G118*H118)*(1+$BD$10)^8,(E118*F118*G118*H118)))</f>
        <v>0</v>
      </c>
      <c r="AA118" s="78"/>
      <c r="AB118" s="78">
        <f>IF($BD$15&lt;10,0, IF($BD$100="Yes", (E118*F118*G118*H118)*(1+$BD$10)^9,(E118*F118*G118*H118)))</f>
        <v>0</v>
      </c>
      <c r="AC118" s="78"/>
      <c r="AD118" s="78">
        <f>J118+L118+N118+P118+R118+T118+V118+X118+Z118+AB118</f>
        <v>0</v>
      </c>
      <c r="AE118" s="78"/>
      <c r="AF118" s="327">
        <v>0</v>
      </c>
      <c r="AH118" s="327">
        <v>0</v>
      </c>
      <c r="AI118" s="78"/>
      <c r="AJ118" s="327">
        <v>0</v>
      </c>
      <c r="AK118" s="78"/>
      <c r="AL118" s="327">
        <v>0</v>
      </c>
      <c r="AM118" s="78"/>
      <c r="AN118" s="327">
        <v>0</v>
      </c>
      <c r="AO118" s="78"/>
      <c r="AP118" s="327">
        <v>0</v>
      </c>
      <c r="AR118" s="327">
        <v>0</v>
      </c>
      <c r="AS118" s="78"/>
      <c r="AT118" s="327">
        <v>0</v>
      </c>
      <c r="AU118" s="78"/>
      <c r="AV118" s="327">
        <v>0</v>
      </c>
      <c r="AW118" s="78"/>
      <c r="AX118" s="327">
        <v>0</v>
      </c>
      <c r="AY118" s="78"/>
      <c r="AZ118" s="327">
        <f>AF118+AH118+AJ118+AL118+AN118+AP118+AR118+AT118+AV118+AX118</f>
        <v>0</v>
      </c>
      <c r="BF118" s="59"/>
      <c r="BJ118" s="59"/>
      <c r="BN118" s="59"/>
      <c r="BR118" s="59"/>
      <c r="BV118" s="59"/>
      <c r="BZ118" s="59"/>
      <c r="CD118" s="59"/>
      <c r="CH118" s="59"/>
      <c r="CL118" s="59"/>
      <c r="CP118" s="59"/>
    </row>
    <row r="119" spans="1:94" outlineLevel="1" x14ac:dyDescent="0.25">
      <c r="A119" s="36"/>
      <c r="B119" s="10"/>
      <c r="C119" s="13"/>
      <c r="E119" s="66"/>
      <c r="F119" s="67"/>
      <c r="G119" s="67"/>
      <c r="H119" s="67"/>
      <c r="M119" s="44"/>
      <c r="N119" s="78"/>
      <c r="O119" s="44"/>
      <c r="P119" s="78"/>
      <c r="Q119" s="44"/>
      <c r="R119" s="78"/>
      <c r="S119" s="44"/>
      <c r="W119" s="44"/>
      <c r="X119" s="78"/>
      <c r="Y119" s="44"/>
      <c r="Z119" s="78"/>
      <c r="AA119" s="44"/>
      <c r="AB119" s="78"/>
      <c r="AC119" s="78"/>
      <c r="AD119" s="78"/>
      <c r="AE119" s="78"/>
      <c r="AI119" s="44"/>
      <c r="AJ119" s="327"/>
      <c r="AK119" s="44"/>
      <c r="AL119" s="327"/>
      <c r="AM119" s="44"/>
      <c r="AN119" s="327"/>
      <c r="AO119" s="44"/>
      <c r="AS119" s="44"/>
      <c r="AT119" s="327"/>
      <c r="AU119" s="44"/>
      <c r="AV119" s="327"/>
      <c r="AW119" s="44"/>
      <c r="AX119" s="327"/>
      <c r="AY119" s="78"/>
      <c r="AZ119" s="327"/>
      <c r="BF119" s="59"/>
      <c r="BJ119" s="59"/>
      <c r="BN119" s="59"/>
      <c r="BR119" s="59"/>
      <c r="BV119" s="59"/>
      <c r="BZ119" s="59"/>
      <c r="CD119" s="59"/>
      <c r="CH119" s="59"/>
      <c r="CL119" s="59"/>
      <c r="CP119" s="59"/>
    </row>
    <row r="120" spans="1:94" outlineLevel="1" x14ac:dyDescent="0.25">
      <c r="A120" s="36"/>
      <c r="B120" s="10"/>
      <c r="C120" s="19" t="s">
        <v>73</v>
      </c>
      <c r="E120" s="66"/>
      <c r="F120" s="67"/>
      <c r="G120" s="67"/>
      <c r="H120" s="67"/>
      <c r="M120" s="44"/>
      <c r="N120" s="78"/>
      <c r="O120" s="44"/>
      <c r="P120" s="78"/>
      <c r="Q120" s="44"/>
      <c r="R120" s="78"/>
      <c r="S120" s="44"/>
      <c r="W120" s="44"/>
      <c r="X120" s="78"/>
      <c r="Y120" s="44"/>
      <c r="Z120" s="78"/>
      <c r="AA120" s="44"/>
      <c r="AB120" s="78"/>
      <c r="AC120" s="78"/>
      <c r="AD120" s="78"/>
      <c r="AI120" s="44"/>
      <c r="AJ120" s="327"/>
      <c r="AK120" s="44"/>
      <c r="AL120" s="327"/>
      <c r="AM120" s="44"/>
      <c r="AN120" s="327"/>
      <c r="AO120" s="44"/>
      <c r="AS120" s="44"/>
      <c r="AT120" s="327"/>
      <c r="AU120" s="44"/>
      <c r="AV120" s="327"/>
      <c r="AW120" s="44"/>
      <c r="AX120" s="327"/>
      <c r="AY120" s="78"/>
      <c r="AZ120" s="327"/>
      <c r="BF120" s="59"/>
      <c r="BJ120" s="59"/>
      <c r="BN120" s="59"/>
      <c r="BR120" s="59"/>
      <c r="BV120" s="59"/>
      <c r="BZ120" s="59"/>
      <c r="CD120" s="59"/>
      <c r="CH120" s="59"/>
      <c r="CL120" s="59"/>
      <c r="CP120" s="59"/>
    </row>
    <row r="121" spans="1:94" outlineLevel="1" x14ac:dyDescent="0.25">
      <c r="A121" s="36" t="s">
        <v>240</v>
      </c>
      <c r="B121" s="10"/>
      <c r="C121" s="13"/>
      <c r="D121" s="77" t="s">
        <v>74</v>
      </c>
      <c r="E121" s="66"/>
      <c r="F121" s="67"/>
      <c r="G121" s="67">
        <v>0</v>
      </c>
      <c r="H121" s="67">
        <v>0</v>
      </c>
      <c r="J121" s="78">
        <f>E121*G121*H121</f>
        <v>0</v>
      </c>
      <c r="L121" s="78">
        <f>IF($BD$15&lt;2,0, IF($BD$100="Yes", (E121*G121*H121)*(1+$BD$10),(E121*G121*H121)))</f>
        <v>0</v>
      </c>
      <c r="M121" s="78"/>
      <c r="N121" s="78">
        <f>IF($BD$15&lt;3,0, IF($BD$100="Yes", (E121*G121*H121)*(1+$BD$10)^2,(E121*G121*H121)))</f>
        <v>0</v>
      </c>
      <c r="O121" s="78"/>
      <c r="P121" s="78">
        <f>IF($BD$15&lt;4,0, IF($BD$100="Yes", (E121*G121*H121)*(1+$BD$10)^3,(E121*G121*H121)))</f>
        <v>0</v>
      </c>
      <c r="Q121" s="78"/>
      <c r="R121" s="78">
        <f>IF($BD$15&lt;5,0, IF($BD$100="Yes", (E121*G121*H121)*(1+$BD$10)^4,(E121*G121*H121)))</f>
        <v>0</v>
      </c>
      <c r="S121" s="78"/>
      <c r="T121" s="78">
        <f>IF($BD$15&lt;6,0, IF($BD$100="Yes", (E121*G121*H121)*(1+$BD$10)^5,(E121*G121*H121)))</f>
        <v>0</v>
      </c>
      <c r="V121" s="78">
        <f>IF($BD$15&lt;7,0, IF($BD$100="Yes", (E121*G121*H121)*(1+$BD$10)^6,(E121*G121*H121)))</f>
        <v>0</v>
      </c>
      <c r="W121" s="78"/>
      <c r="X121" s="78">
        <f>IF($BD$15&lt;8,0, IF($BD$100="Yes", (E121*G121*H121)*(1+$BD$10)^7,(E121*G121*H121)))</f>
        <v>0</v>
      </c>
      <c r="Y121" s="78"/>
      <c r="Z121" s="78">
        <f>IF($BD$15&lt;9,0, IF($BD$100="Yes", (E121*G121*H121)*(1+$BD$10)^8,(E121*G121*H121)))</f>
        <v>0</v>
      </c>
      <c r="AA121" s="78"/>
      <c r="AB121" s="78">
        <f>IF($BD$15&lt;10,0, IF($BD$100="Yes", (E121*G121*H121)*(1+$BD$10)^9,(E121*G121*H121)))</f>
        <v>0</v>
      </c>
      <c r="AC121" s="78"/>
      <c r="AD121" s="78">
        <f>J121+L121+N121+P121+R121+T121+V121+X121+Z121+AB121</f>
        <v>0</v>
      </c>
      <c r="AF121" s="327">
        <v>0</v>
      </c>
      <c r="AH121" s="327">
        <v>0</v>
      </c>
      <c r="AI121" s="78"/>
      <c r="AJ121" s="327">
        <v>0</v>
      </c>
      <c r="AK121" s="78"/>
      <c r="AL121" s="327">
        <v>0</v>
      </c>
      <c r="AM121" s="78"/>
      <c r="AN121" s="327">
        <v>0</v>
      </c>
      <c r="AO121" s="78"/>
      <c r="AP121" s="327">
        <v>0</v>
      </c>
      <c r="AR121" s="327">
        <v>0</v>
      </c>
      <c r="AS121" s="78"/>
      <c r="AT121" s="327">
        <v>0</v>
      </c>
      <c r="AU121" s="78"/>
      <c r="AV121" s="327">
        <v>0</v>
      </c>
      <c r="AW121" s="78"/>
      <c r="AX121" s="327">
        <v>0</v>
      </c>
      <c r="AY121" s="78"/>
      <c r="AZ121" s="327">
        <f>AF121+AH121+AJ121+AL121+AN121+AP121+AR121+AT121+AV121+AX121</f>
        <v>0</v>
      </c>
      <c r="BF121" s="59"/>
      <c r="BJ121" s="59"/>
      <c r="BN121" s="59"/>
      <c r="BR121" s="59"/>
      <c r="BV121" s="59"/>
      <c r="BZ121" s="59"/>
      <c r="CD121" s="59"/>
      <c r="CH121" s="59"/>
      <c r="CL121" s="59"/>
      <c r="CP121" s="59"/>
    </row>
    <row r="122" spans="1:94" outlineLevel="1" x14ac:dyDescent="0.25">
      <c r="A122" s="36" t="s">
        <v>240</v>
      </c>
      <c r="B122" s="10"/>
      <c r="C122" s="13"/>
      <c r="D122" s="77" t="s">
        <v>83</v>
      </c>
      <c r="E122" s="66"/>
      <c r="F122" s="67"/>
      <c r="G122" s="67">
        <f>G121</f>
        <v>0</v>
      </c>
      <c r="H122" s="67">
        <f>H121</f>
        <v>0</v>
      </c>
      <c r="J122" s="78">
        <f>E122*F122*G122*H122</f>
        <v>0</v>
      </c>
      <c r="L122" s="78">
        <f>IF($BD$15&lt;2,0, IF($BD$100="Yes", (E122*F122*G122*H122)*(1+$BD$10),(E122*F122*G122*H122)))</f>
        <v>0</v>
      </c>
      <c r="M122" s="44"/>
      <c r="N122" s="78">
        <f>IF($BD$15&lt;3,0, IF($BD$100="Yes", (E122*F122*G122*H122)*(1+$BD$10)^2,(E122*F122*G122*H122)))</f>
        <v>0</v>
      </c>
      <c r="O122" s="44"/>
      <c r="P122" s="78">
        <f>IF($BD$15&lt;4,0, IF($BD$100="Yes", (E122*F122*G122*H122)*(1+$BD$10)^3,(E122*F122*G122*H122)))</f>
        <v>0</v>
      </c>
      <c r="Q122" s="44"/>
      <c r="R122" s="78">
        <f>IF($BD$15&lt;5,0, IF($BD$100="Yes", (E122*F122*G122*H122)*(1+$BD$10)^4,(E122*F122*G122*H122)))</f>
        <v>0</v>
      </c>
      <c r="S122" s="44"/>
      <c r="T122" s="78">
        <f>IF($BD$15&lt;6,0, IF($BD$100="Yes", (E122*F122*G122*H122)*(1+$BD$10)^5,(E122*F122*G122*H122)))</f>
        <v>0</v>
      </c>
      <c r="V122" s="78">
        <f>IF($BD$15&lt;7,0, IF($BD$100="Yes", (E122*F122*G122*H122)*(1+$BD$10)^6,(E122*F122*G122*H122)))</f>
        <v>0</v>
      </c>
      <c r="W122" s="44"/>
      <c r="X122" s="78">
        <f>IF($BD$15&lt;8,0, IF($BD$100="Yes", (E122*F122*G122*H122)*(1+$BD$10)^7,(E122*F122*G122*H122)))</f>
        <v>0</v>
      </c>
      <c r="Y122" s="44"/>
      <c r="Z122" s="78">
        <f>IF($BD$15&lt;9,0, IF($BD$100="Yes", (E122*F122*G122*H122)*(1+$BD$10)^8,(E122*F122*G122*H122)))</f>
        <v>0</v>
      </c>
      <c r="AA122" s="44"/>
      <c r="AB122" s="78">
        <f>IF($BD$15&lt;10,0, IF($BD$100="Yes", (E122*F122*G122*H122)*(1+$BD$10)^9,(E122*F122*G122*H122)))</f>
        <v>0</v>
      </c>
      <c r="AC122" s="78"/>
      <c r="AD122" s="78">
        <f>J122+L122+N122+P122+R122+T122+V122+X122+Z122+AB122</f>
        <v>0</v>
      </c>
      <c r="AE122" s="78"/>
      <c r="AF122" s="327">
        <v>0</v>
      </c>
      <c r="AH122" s="327">
        <v>0</v>
      </c>
      <c r="AI122" s="44"/>
      <c r="AJ122" s="327">
        <v>0</v>
      </c>
      <c r="AK122" s="44"/>
      <c r="AL122" s="327">
        <v>0</v>
      </c>
      <c r="AM122" s="44"/>
      <c r="AN122" s="327">
        <v>0</v>
      </c>
      <c r="AO122" s="44"/>
      <c r="AP122" s="327">
        <v>0</v>
      </c>
      <c r="AR122" s="327">
        <v>0</v>
      </c>
      <c r="AS122" s="44"/>
      <c r="AT122" s="327">
        <v>0</v>
      </c>
      <c r="AU122" s="44"/>
      <c r="AV122" s="327">
        <v>0</v>
      </c>
      <c r="AW122" s="44"/>
      <c r="AX122" s="327">
        <v>0</v>
      </c>
      <c r="AY122" s="78"/>
      <c r="AZ122" s="327">
        <f>AF122+AH122+AJ122+AL122+AN122+AP122+AR122+AT122+AV122+AX122</f>
        <v>0</v>
      </c>
      <c r="BA122" s="44"/>
      <c r="BF122" s="59"/>
      <c r="BJ122" s="59"/>
      <c r="BN122" s="59"/>
      <c r="BR122" s="59"/>
      <c r="BV122" s="59"/>
      <c r="BZ122" s="59"/>
      <c r="CD122" s="59"/>
      <c r="CH122" s="59"/>
      <c r="CL122" s="59"/>
      <c r="CP122" s="59"/>
    </row>
    <row r="123" spans="1:94" outlineLevel="1" x14ac:dyDescent="0.25">
      <c r="A123" s="36" t="s">
        <v>240</v>
      </c>
      <c r="B123" s="10"/>
      <c r="C123" s="13"/>
      <c r="D123" s="77" t="s">
        <v>263</v>
      </c>
      <c r="E123" s="66"/>
      <c r="F123" s="67"/>
      <c r="G123" s="67">
        <f t="shared" ref="G123:H123" si="30">G122</f>
        <v>0</v>
      </c>
      <c r="H123" s="67">
        <f t="shared" si="30"/>
        <v>0</v>
      </c>
      <c r="J123" s="78">
        <f>E123*F123*G123*H123</f>
        <v>0</v>
      </c>
      <c r="L123" s="78">
        <f>IF($BD$15&lt;2,0, IF($BD$100="Yes", (E123*F123*G123*H123)*(1+$BD$10),(E123*F123*G123*H123)))</f>
        <v>0</v>
      </c>
      <c r="M123" s="44"/>
      <c r="N123" s="78">
        <f>IF($BD$15&lt;3,0, IF($BD$100="Yes", (E123*F123*G123*H123)*(1+$BD$10)^2,(E123*F123*G123*H123)))</f>
        <v>0</v>
      </c>
      <c r="O123" s="44"/>
      <c r="P123" s="78">
        <f>IF($BD$15&lt;4,0, IF($BD$100="Yes", (E123*F123*G123*H123)*(1+$BD$10)^3,(E123*F123*G123*H123)))</f>
        <v>0</v>
      </c>
      <c r="Q123" s="44"/>
      <c r="R123" s="78">
        <f>IF($BD$15&lt;5,0, IF($BD$100="Yes", (E123*F123*G123*H123)*(1+$BD$10)^4,(E123*F123*G123*H123)))</f>
        <v>0</v>
      </c>
      <c r="S123" s="44"/>
      <c r="T123" s="78">
        <f>IF($BD$15&lt;6,0, IF($BD$100="Yes", (E123*F123*G123*H123)*(1+$BD$10)^5,(E123*F123*G123*H123)))</f>
        <v>0</v>
      </c>
      <c r="V123" s="78">
        <f>IF($BD$15&lt;7,0, IF($BD$100="Yes", (E123*F123*G123*H123)*(1+$BD$10)^6,(E123*F123*G123*H123)))</f>
        <v>0</v>
      </c>
      <c r="W123" s="44"/>
      <c r="X123" s="78">
        <f>IF($BD$15&lt;8,0, IF($BD$100="Yes", (E123*F123*G123*H123)*(1+$BD$10)^7,(E123*F123*G123*H123)))</f>
        <v>0</v>
      </c>
      <c r="Y123" s="44"/>
      <c r="Z123" s="78">
        <f>IF($BD$15&lt;9,0, IF($BD$100="Yes", (E123*F123*G123*H123)*(1+$BD$10)^8,(E123*F123*G123*H123)))</f>
        <v>0</v>
      </c>
      <c r="AA123" s="44"/>
      <c r="AB123" s="78">
        <f>IF($BD$15&lt;10,0, IF($BD$100="Yes", (E123*F123*G123*H123)*(1+$BD$10)^9,(E123*F123*G123*H123)))</f>
        <v>0</v>
      </c>
      <c r="AC123" s="78"/>
      <c r="AD123" s="78">
        <f>J123+L123+N123+P123+R123+T123+V123+X123+Z123+AB123</f>
        <v>0</v>
      </c>
      <c r="AE123" s="78"/>
      <c r="AF123" s="327">
        <v>0</v>
      </c>
      <c r="AH123" s="327">
        <v>0</v>
      </c>
      <c r="AI123" s="44"/>
      <c r="AJ123" s="327">
        <v>0</v>
      </c>
      <c r="AK123" s="44"/>
      <c r="AL123" s="327">
        <v>0</v>
      </c>
      <c r="AM123" s="44"/>
      <c r="AN123" s="327">
        <v>0</v>
      </c>
      <c r="AO123" s="44"/>
      <c r="AP123" s="327">
        <v>0</v>
      </c>
      <c r="AR123" s="327">
        <v>0</v>
      </c>
      <c r="AS123" s="44"/>
      <c r="AT123" s="327">
        <v>0</v>
      </c>
      <c r="AU123" s="44"/>
      <c r="AV123" s="327">
        <v>0</v>
      </c>
      <c r="AW123" s="44"/>
      <c r="AX123" s="327">
        <v>0</v>
      </c>
      <c r="AY123" s="78"/>
      <c r="AZ123" s="327">
        <f>AF123+AH123+AJ123+AL123+AN123+AP123+AR123+AT123+AV123+AX123</f>
        <v>0</v>
      </c>
      <c r="BF123" s="59"/>
      <c r="BJ123" s="59"/>
      <c r="BN123" s="59"/>
      <c r="BR123" s="59"/>
      <c r="BV123" s="59"/>
      <c r="BZ123" s="59"/>
      <c r="CD123" s="59"/>
      <c r="CH123" s="59"/>
      <c r="CL123" s="59"/>
      <c r="CP123" s="59"/>
    </row>
    <row r="124" spans="1:94" outlineLevel="1" x14ac:dyDescent="0.25">
      <c r="A124" s="36" t="s">
        <v>240</v>
      </c>
      <c r="B124" s="10"/>
      <c r="C124" s="13"/>
      <c r="D124" s="77" t="s">
        <v>84</v>
      </c>
      <c r="E124" s="66">
        <v>40</v>
      </c>
      <c r="F124" s="67"/>
      <c r="G124" s="67">
        <f>G123</f>
        <v>0</v>
      </c>
      <c r="H124" s="67">
        <f>H123</f>
        <v>0</v>
      </c>
      <c r="J124" s="78">
        <f>E124*F124*G124*H124</f>
        <v>0</v>
      </c>
      <c r="L124" s="78">
        <f>IF($BD$15&lt;2,0, IF($BD$100="Yes", (E124*F124*G124*H124)*(1+$BD$10),(E124*F124*G124*H124)))</f>
        <v>0</v>
      </c>
      <c r="M124" s="78"/>
      <c r="N124" s="78">
        <f>IF($BD$15&lt;3,0, IF($BD$100="Yes", (E124*F124*G124*H124)*(1+$BD$10)^2,(E124*F124*G124*H124)))</f>
        <v>0</v>
      </c>
      <c r="O124" s="78"/>
      <c r="P124" s="78">
        <f>IF($BD$15&lt;4,0, IF($BD$100="Yes", (E124*F124*G124*H124)*(1+$BD$10)^3,(E124*F124*G124*H124)))</f>
        <v>0</v>
      </c>
      <c r="Q124" s="78"/>
      <c r="R124" s="78">
        <f>IF($BD$15&lt;5,0, IF($BD$100="Yes", (E124*F124*G124*H124)*(1+$BD$10)^4,(E124*F124*G124*H124)))</f>
        <v>0</v>
      </c>
      <c r="S124" s="78"/>
      <c r="T124" s="78">
        <f>IF($BD$15&lt;6,0, IF($BD$100="Yes", (E124*F124*G124*H124)*(1+$BD$10)^5,(E124*F124*G124*H124)))</f>
        <v>0</v>
      </c>
      <c r="V124" s="78">
        <f>IF($BD$15&lt;7,0, IF($BD$100="Yes", (E124*F124*G124*H124)*(1+$BD$10)^6,(E124*F124*G124*H124)))</f>
        <v>0</v>
      </c>
      <c r="W124" s="78"/>
      <c r="X124" s="78">
        <f>IF($BD$15&lt;8,0, IF($BD$100="Yes", (E124*F124*G124*H124)*(1+$BD$10)^7,(E124*F124*G124*H124)))</f>
        <v>0</v>
      </c>
      <c r="Y124" s="78"/>
      <c r="Z124" s="78">
        <f>IF($BD$15&lt;9,0, IF($BD$100="Yes", (E124*F124*G124*H124)*(1+$BD$10)^8,(E124*F124*G124*H124)))</f>
        <v>0</v>
      </c>
      <c r="AA124" s="78"/>
      <c r="AB124" s="78">
        <f>IF($BD$15&lt;10,0, IF($BD$100="Yes", (E124*F124*G124*H124)*(1+$BD$10)^9,(E124*F124*G124*H124)))</f>
        <v>0</v>
      </c>
      <c r="AC124" s="78"/>
      <c r="AD124" s="78">
        <f>J124+L124+N124+P124+R124+T124+V124+X124+Z124+AB124</f>
        <v>0</v>
      </c>
      <c r="AE124" s="78"/>
      <c r="AF124" s="327">
        <v>0</v>
      </c>
      <c r="AH124" s="327">
        <v>0</v>
      </c>
      <c r="AI124" s="78"/>
      <c r="AJ124" s="327">
        <v>0</v>
      </c>
      <c r="AK124" s="78"/>
      <c r="AL124" s="327">
        <v>0</v>
      </c>
      <c r="AM124" s="78"/>
      <c r="AN124" s="327">
        <v>0</v>
      </c>
      <c r="AO124" s="78"/>
      <c r="AP124" s="327">
        <v>0</v>
      </c>
      <c r="AR124" s="327">
        <v>0</v>
      </c>
      <c r="AS124" s="78"/>
      <c r="AT124" s="327">
        <v>0</v>
      </c>
      <c r="AU124" s="78"/>
      <c r="AV124" s="327">
        <v>0</v>
      </c>
      <c r="AW124" s="78"/>
      <c r="AX124" s="327">
        <v>0</v>
      </c>
      <c r="AY124" s="78"/>
      <c r="AZ124" s="327">
        <f>AF124+AH124+AJ124+AL124+AN124+AP124+AR124+AT124+AV124+AX124</f>
        <v>0</v>
      </c>
      <c r="BF124" s="59"/>
      <c r="BJ124" s="59"/>
      <c r="BN124" s="59"/>
      <c r="BR124" s="59"/>
      <c r="BV124" s="59"/>
      <c r="BZ124" s="59"/>
      <c r="CD124" s="59"/>
      <c r="CH124" s="59"/>
      <c r="CL124" s="59"/>
      <c r="CP124" s="59"/>
    </row>
    <row r="125" spans="1:94" outlineLevel="1" x14ac:dyDescent="0.25">
      <c r="A125" s="36"/>
      <c r="B125" s="10"/>
      <c r="E125" s="66"/>
      <c r="F125" s="67"/>
      <c r="G125" s="67"/>
      <c r="H125" s="67"/>
      <c r="M125" s="44"/>
      <c r="N125" s="78"/>
      <c r="O125" s="44"/>
      <c r="P125" s="78"/>
      <c r="Q125" s="44"/>
      <c r="R125" s="78"/>
      <c r="S125" s="44"/>
      <c r="W125" s="44"/>
      <c r="X125" s="78"/>
      <c r="Y125" s="44"/>
      <c r="Z125" s="78"/>
      <c r="AA125" s="44"/>
      <c r="AB125" s="78"/>
      <c r="AC125" s="78"/>
      <c r="AD125" s="78"/>
      <c r="AE125" s="78"/>
      <c r="AI125" s="44"/>
      <c r="AJ125" s="327"/>
      <c r="AK125" s="44"/>
      <c r="AL125" s="327"/>
      <c r="AM125" s="44"/>
      <c r="AN125" s="327"/>
      <c r="AO125" s="44"/>
      <c r="AS125" s="44"/>
      <c r="AT125" s="327"/>
      <c r="AU125" s="44"/>
      <c r="AV125" s="327"/>
      <c r="AW125" s="44"/>
      <c r="AX125" s="327"/>
      <c r="AY125" s="78"/>
      <c r="AZ125" s="327"/>
      <c r="BF125" s="59"/>
      <c r="BJ125" s="59"/>
      <c r="BN125" s="59"/>
      <c r="BR125" s="59"/>
      <c r="BV125" s="59"/>
      <c r="BZ125" s="59"/>
      <c r="CD125" s="59"/>
      <c r="CH125" s="59"/>
      <c r="CL125" s="59"/>
      <c r="CP125" s="59"/>
    </row>
    <row r="126" spans="1:94" outlineLevel="1" x14ac:dyDescent="0.25">
      <c r="A126" s="36"/>
      <c r="B126" s="10"/>
      <c r="C126" s="19" t="s">
        <v>48</v>
      </c>
      <c r="D126" s="13"/>
      <c r="E126" s="66" t="s">
        <v>72</v>
      </c>
      <c r="F126" s="67" t="s">
        <v>219</v>
      </c>
      <c r="G126" s="67" t="s">
        <v>82</v>
      </c>
      <c r="H126" s="67" t="s">
        <v>71</v>
      </c>
      <c r="I126" s="27"/>
      <c r="M126" s="44"/>
      <c r="N126" s="78"/>
      <c r="O126" s="44"/>
      <c r="P126" s="78"/>
      <c r="Q126" s="44"/>
      <c r="R126" s="78"/>
      <c r="S126" s="44"/>
      <c r="W126" s="44"/>
      <c r="X126" s="78"/>
      <c r="Y126" s="44"/>
      <c r="Z126" s="78"/>
      <c r="AA126" s="44"/>
      <c r="AB126" s="78"/>
      <c r="AC126" s="78"/>
      <c r="AD126" s="78"/>
      <c r="AE126" s="78"/>
      <c r="AI126" s="44"/>
      <c r="AJ126" s="327"/>
      <c r="AK126" s="44"/>
      <c r="AL126" s="327"/>
      <c r="AM126" s="44"/>
      <c r="AN126" s="327"/>
      <c r="AO126" s="44"/>
      <c r="AS126" s="44"/>
      <c r="AT126" s="327"/>
      <c r="AU126" s="44"/>
      <c r="AV126" s="327"/>
      <c r="AW126" s="44"/>
      <c r="AX126" s="327"/>
      <c r="AY126" s="78"/>
      <c r="AZ126" s="327"/>
      <c r="BF126" s="59"/>
      <c r="BJ126" s="59"/>
      <c r="BN126" s="59"/>
      <c r="BR126" s="59"/>
      <c r="BV126" s="59"/>
      <c r="BZ126" s="59"/>
      <c r="CD126" s="59"/>
      <c r="CH126" s="59"/>
      <c r="CL126" s="59"/>
      <c r="CP126" s="59"/>
    </row>
    <row r="127" spans="1:94" outlineLevel="1" x14ac:dyDescent="0.25">
      <c r="A127" s="36" t="s">
        <v>240</v>
      </c>
      <c r="B127" s="10"/>
      <c r="C127" s="13"/>
      <c r="D127" s="13" t="s">
        <v>73</v>
      </c>
      <c r="E127" s="74">
        <v>0.6</v>
      </c>
      <c r="F127" s="67"/>
      <c r="G127" s="67"/>
      <c r="H127" s="67"/>
      <c r="I127" s="27"/>
      <c r="J127" s="78">
        <f>E127*F127*G127*H127</f>
        <v>0</v>
      </c>
      <c r="L127" s="78">
        <f>IF($BD$15&lt;2,0,IF($BD$100="Yes",(E127*F127*G127*H127)*(1+$BD$10),(E127*F127*G127*H127)))</f>
        <v>0</v>
      </c>
      <c r="M127" s="44"/>
      <c r="N127" s="78">
        <f>IF($BD$15&lt;3,0, IF($BD$100="Yes", (E127*F127*G127*H127)*(1+$BD$10)^2,(E127*F127*G127*H127)))</f>
        <v>0</v>
      </c>
      <c r="O127" s="44"/>
      <c r="P127" s="78">
        <f>IF($BD$15&lt;4,0, IF($BD$100="Yes", (E127*F127*G127*H127)*(1+$BD$10)^3,(E127*F127*G127*H127)))</f>
        <v>0</v>
      </c>
      <c r="Q127" s="44"/>
      <c r="R127" s="78">
        <f>IF($BD$15&lt;5,0, IF($BD$100="Yes", (E127*F127*G127*H127)*(1+$BD$10)^4,(E127*F127*G127*H127)))</f>
        <v>0</v>
      </c>
      <c r="S127" s="44"/>
      <c r="T127" s="78">
        <f>IF($BD$15&lt;6,0, IF($BD$100="Yes", (E127*F127*G127*H127)*(1+$BD$10)^5,(E127*F127*G127*H127)))</f>
        <v>0</v>
      </c>
      <c r="V127" s="78">
        <f>IF($BD$15&lt;7,0, IF($BD$100="Yes", (E127*F127*G127*H127)*(1+$BD$10)^6,(E127*F127*G127*H127)))</f>
        <v>0</v>
      </c>
      <c r="W127" s="44"/>
      <c r="X127" s="78">
        <f>IF($BD$15&lt;8,0, IF($BD$100="Yes", (E127*F127*G127*H127)*(1+$BD$10)^7,(E127*F127*G127*H127)))</f>
        <v>0</v>
      </c>
      <c r="Y127" s="44"/>
      <c r="Z127" s="78">
        <f>IF($BD$15&lt;9,0, IF($BD$100="Yes", (E127*F127*G127*H127)*(1+$BD$10)^8,(E127*F127*G127*H127)))</f>
        <v>0</v>
      </c>
      <c r="AA127" s="44"/>
      <c r="AB127" s="78">
        <f>IF($BD$15&lt;10,0, IF($BD$100="Yes", (E127*F127*G127*H127)*(1+$BD$10)^9,(E127*F127*G127*H127)))</f>
        <v>0</v>
      </c>
      <c r="AC127" s="78"/>
      <c r="AD127" s="78">
        <f>J127+L127+N127+P127+R127+T127+V127+X127+Z127+AB127</f>
        <v>0</v>
      </c>
      <c r="AE127" s="78"/>
      <c r="AF127" s="327">
        <v>0</v>
      </c>
      <c r="AH127" s="327">
        <v>0</v>
      </c>
      <c r="AI127" s="44"/>
      <c r="AJ127" s="327">
        <v>0</v>
      </c>
      <c r="AK127" s="44"/>
      <c r="AL127" s="327">
        <v>0</v>
      </c>
      <c r="AM127" s="44"/>
      <c r="AN127" s="327">
        <v>0</v>
      </c>
      <c r="AO127" s="44"/>
      <c r="AP127" s="327">
        <v>0</v>
      </c>
      <c r="AR127" s="327">
        <v>0</v>
      </c>
      <c r="AS127" s="44"/>
      <c r="AT127" s="327">
        <v>0</v>
      </c>
      <c r="AU127" s="44"/>
      <c r="AV127" s="327">
        <v>0</v>
      </c>
      <c r="AW127" s="44"/>
      <c r="AX127" s="327">
        <v>0</v>
      </c>
      <c r="AY127" s="78"/>
      <c r="AZ127" s="327">
        <f>AF127+AH127+AJ127+AL127+AN127+AP127+AR127+AT127+AV127+AX127</f>
        <v>0</v>
      </c>
      <c r="BF127" s="59"/>
      <c r="BJ127" s="59"/>
      <c r="BN127" s="59"/>
      <c r="BR127" s="59"/>
      <c r="BV127" s="59"/>
      <c r="BZ127" s="59"/>
      <c r="CD127" s="59"/>
      <c r="CH127" s="59"/>
      <c r="CL127" s="59"/>
      <c r="CP127" s="59"/>
    </row>
    <row r="128" spans="1:94" outlineLevel="1" x14ac:dyDescent="0.25">
      <c r="A128" s="36"/>
      <c r="B128" s="10"/>
      <c r="C128" s="13"/>
      <c r="D128" s="13"/>
      <c r="E128" s="74"/>
      <c r="F128" s="67"/>
      <c r="G128" s="67"/>
      <c r="H128" s="67"/>
      <c r="I128" s="27"/>
      <c r="M128" s="44"/>
      <c r="N128" s="78"/>
      <c r="O128" s="44"/>
      <c r="P128" s="78"/>
      <c r="Q128" s="44"/>
      <c r="R128" s="78"/>
      <c r="S128" s="44"/>
      <c r="W128" s="44"/>
      <c r="X128" s="78"/>
      <c r="Y128" s="44"/>
      <c r="Z128" s="78"/>
      <c r="AA128" s="44"/>
      <c r="AB128" s="78"/>
      <c r="AC128" s="78"/>
      <c r="AD128" s="78"/>
      <c r="AE128" s="78"/>
      <c r="AI128" s="44"/>
      <c r="AJ128" s="327"/>
      <c r="AK128" s="44"/>
      <c r="AL128" s="327"/>
      <c r="AM128" s="44"/>
      <c r="AN128" s="327"/>
      <c r="AO128" s="44"/>
      <c r="AS128" s="44"/>
      <c r="AT128" s="327"/>
      <c r="AU128" s="44"/>
      <c r="AV128" s="327"/>
      <c r="AW128" s="44"/>
      <c r="AX128" s="327"/>
      <c r="AY128" s="78"/>
      <c r="AZ128" s="327"/>
      <c r="BF128" s="59"/>
      <c r="BJ128" s="59"/>
      <c r="BN128" s="59"/>
      <c r="BR128" s="59"/>
      <c r="BV128" s="59"/>
      <c r="BZ128" s="59"/>
      <c r="CD128" s="59"/>
      <c r="CH128" s="59"/>
      <c r="CL128" s="59"/>
      <c r="CP128" s="59"/>
    </row>
    <row r="129" spans="1:94" x14ac:dyDescent="0.25">
      <c r="A129" s="36"/>
      <c r="B129" s="10"/>
      <c r="C129" s="13"/>
      <c r="E129" s="68"/>
      <c r="G129" s="62"/>
      <c r="H129" s="64" t="s">
        <v>46</v>
      </c>
      <c r="I129" s="27"/>
      <c r="J129" s="64">
        <f>SUM(J101:J128)</f>
        <v>0</v>
      </c>
      <c r="K129" s="64"/>
      <c r="L129" s="64">
        <f>SUM(L101:L128)</f>
        <v>0</v>
      </c>
      <c r="M129" s="62"/>
      <c r="N129" s="64">
        <f>SUM(N101:N128)</f>
        <v>0</v>
      </c>
      <c r="O129" s="62"/>
      <c r="P129" s="64">
        <f>SUM(P101:P128)</f>
        <v>0</v>
      </c>
      <c r="Q129" s="62"/>
      <c r="R129" s="64">
        <f>SUM(R101:R128)</f>
        <v>0</v>
      </c>
      <c r="S129" s="62"/>
      <c r="T129" s="64">
        <f>SUM(T101:T128)</f>
        <v>0</v>
      </c>
      <c r="U129" s="64"/>
      <c r="V129" s="64">
        <f>SUM(V101:V128)</f>
        <v>0</v>
      </c>
      <c r="W129" s="62"/>
      <c r="X129" s="64">
        <f>SUM(X101:X128)</f>
        <v>0</v>
      </c>
      <c r="Y129" s="62"/>
      <c r="Z129" s="64">
        <f>SUM(Z101:Z128)</f>
        <v>0</v>
      </c>
      <c r="AA129" s="62"/>
      <c r="AB129" s="64">
        <f>SUM(AB101:AB128)</f>
        <v>0</v>
      </c>
      <c r="AC129" s="64"/>
      <c r="AD129" s="64">
        <f>J129+L129+N129+P129+R129+T129+V129+X129+Z129+AB129</f>
        <v>0</v>
      </c>
      <c r="AE129" s="27"/>
      <c r="AF129" s="331">
        <f>SUM(AF101:AF128)</f>
        <v>0</v>
      </c>
      <c r="AG129" s="64"/>
      <c r="AH129" s="331">
        <f>SUM(AH101:AH128)</f>
        <v>0</v>
      </c>
      <c r="AI129" s="62"/>
      <c r="AJ129" s="331">
        <f>SUM(AJ101:AJ128)</f>
        <v>0</v>
      </c>
      <c r="AK129" s="62"/>
      <c r="AL129" s="331">
        <f>SUM(AL101:AL128)</f>
        <v>0</v>
      </c>
      <c r="AM129" s="62"/>
      <c r="AN129" s="331">
        <f>SUM(AN101:AN128)</f>
        <v>0</v>
      </c>
      <c r="AO129" s="62"/>
      <c r="AP129" s="331">
        <f>SUM(AP101:AP128)</f>
        <v>0</v>
      </c>
      <c r="AQ129" s="64"/>
      <c r="AR129" s="331">
        <f>SUM(AR101:AR128)</f>
        <v>0</v>
      </c>
      <c r="AS129" s="62"/>
      <c r="AT129" s="331">
        <f>SUM(AT101:AT128)</f>
        <v>0</v>
      </c>
      <c r="AU129" s="62"/>
      <c r="AV129" s="331">
        <f>SUM(AV101:AV128)</f>
        <v>0</v>
      </c>
      <c r="AW129" s="62"/>
      <c r="AX129" s="331">
        <f>SUM(AX101:AX128)</f>
        <v>0</v>
      </c>
      <c r="AY129" s="64"/>
      <c r="AZ129" s="331">
        <f>AF129+AH129+AJ129+AL129+AN129+AP129+AR129+AT129+AV129+AX129</f>
        <v>0</v>
      </c>
      <c r="BF129" s="59"/>
      <c r="BJ129" s="59"/>
      <c r="BN129" s="59"/>
      <c r="BR129" s="59"/>
      <c r="BV129" s="59"/>
      <c r="BZ129" s="59"/>
      <c r="CD129" s="59"/>
      <c r="CH129" s="59"/>
      <c r="CL129" s="59"/>
      <c r="CP129" s="59"/>
    </row>
    <row r="130" spans="1:94" x14ac:dyDescent="0.25">
      <c r="A130" s="36"/>
      <c r="B130" s="10"/>
      <c r="C130" s="13"/>
      <c r="E130" s="68"/>
      <c r="G130" s="62"/>
      <c r="H130" s="64"/>
      <c r="I130" s="27"/>
      <c r="J130" s="64"/>
      <c r="K130" s="64"/>
      <c r="L130" s="64"/>
      <c r="M130" s="62"/>
      <c r="N130" s="64"/>
      <c r="O130" s="62"/>
      <c r="P130" s="64"/>
      <c r="Q130" s="62"/>
      <c r="R130" s="64"/>
      <c r="S130" s="62"/>
      <c r="T130" s="64"/>
      <c r="U130" s="64"/>
      <c r="V130" s="64"/>
      <c r="W130" s="62"/>
      <c r="X130" s="64"/>
      <c r="Y130" s="62"/>
      <c r="Z130" s="64"/>
      <c r="AA130" s="62"/>
      <c r="AB130" s="64"/>
      <c r="AC130" s="64"/>
      <c r="AD130" s="78"/>
      <c r="AE130" s="27"/>
      <c r="AF130" s="331"/>
      <c r="AG130" s="64"/>
      <c r="AH130" s="331"/>
      <c r="AI130" s="62"/>
      <c r="AJ130" s="331"/>
      <c r="AK130" s="62"/>
      <c r="AL130" s="331"/>
      <c r="AM130" s="62"/>
      <c r="AN130" s="331"/>
      <c r="AO130" s="62"/>
      <c r="AP130" s="331"/>
      <c r="AQ130" s="64"/>
      <c r="AR130" s="331"/>
      <c r="AS130" s="62"/>
      <c r="AT130" s="331"/>
      <c r="AU130" s="62"/>
      <c r="AV130" s="331"/>
      <c r="AW130" s="62"/>
      <c r="AX130" s="331"/>
      <c r="AY130" s="64"/>
      <c r="AZ130" s="327"/>
      <c r="BF130" s="59"/>
      <c r="BJ130" s="59"/>
      <c r="BN130" s="59"/>
      <c r="BR130" s="59"/>
      <c r="BV130" s="59"/>
      <c r="BZ130" s="59"/>
      <c r="CD130" s="59"/>
      <c r="CH130" s="59"/>
      <c r="CL130" s="59"/>
      <c r="CP130" s="59"/>
    </row>
    <row r="131" spans="1:94" outlineLevel="1" x14ac:dyDescent="0.25">
      <c r="A131" s="36"/>
      <c r="B131" s="10"/>
      <c r="C131" s="12" t="s">
        <v>29</v>
      </c>
      <c r="E131" s="66" t="s">
        <v>72</v>
      </c>
      <c r="F131" s="67" t="s">
        <v>70</v>
      </c>
      <c r="G131" s="67" t="s">
        <v>82</v>
      </c>
      <c r="H131" s="67" t="s">
        <v>71</v>
      </c>
      <c r="M131" s="44"/>
      <c r="N131" s="78"/>
      <c r="O131" s="44"/>
      <c r="P131" s="78"/>
      <c r="Q131" s="44"/>
      <c r="R131" s="78"/>
      <c r="S131" s="44"/>
      <c r="W131" s="44"/>
      <c r="X131" s="78"/>
      <c r="Y131" s="44"/>
      <c r="Z131" s="78"/>
      <c r="AA131" s="44"/>
      <c r="AB131" s="78"/>
      <c r="AC131" s="78"/>
      <c r="AD131" s="78"/>
      <c r="AE131" s="27"/>
      <c r="AI131" s="44"/>
      <c r="AJ131" s="327"/>
      <c r="AK131" s="44"/>
      <c r="AL131" s="327"/>
      <c r="AM131" s="44"/>
      <c r="AN131" s="327"/>
      <c r="AO131" s="44"/>
      <c r="AS131" s="44"/>
      <c r="AT131" s="327"/>
      <c r="AU131" s="44"/>
      <c r="AV131" s="327"/>
      <c r="AW131" s="44"/>
      <c r="AX131" s="327"/>
      <c r="AY131" s="78"/>
      <c r="AZ131" s="327"/>
      <c r="BF131" s="59"/>
      <c r="BJ131" s="59"/>
      <c r="BN131" s="59"/>
      <c r="BR131" s="59"/>
      <c r="BV131" s="59"/>
      <c r="BZ131" s="59"/>
      <c r="CD131" s="59"/>
      <c r="CH131" s="59"/>
      <c r="CL131" s="59"/>
      <c r="CP131" s="59"/>
    </row>
    <row r="132" spans="1:94" outlineLevel="1" x14ac:dyDescent="0.25">
      <c r="A132" s="36"/>
      <c r="B132" s="10"/>
      <c r="C132" s="19" t="s">
        <v>73</v>
      </c>
      <c r="E132" s="66"/>
      <c r="F132" s="67"/>
      <c r="G132" s="67"/>
      <c r="H132" s="67"/>
      <c r="M132" s="44"/>
      <c r="N132" s="78"/>
      <c r="O132" s="44"/>
      <c r="P132" s="78"/>
      <c r="Q132" s="44"/>
      <c r="R132" s="44"/>
      <c r="S132" s="44"/>
      <c r="W132" s="44"/>
      <c r="X132" s="78"/>
      <c r="Y132" s="44"/>
      <c r="Z132" s="78"/>
      <c r="AA132" s="44"/>
      <c r="AB132" s="44"/>
      <c r="AC132" s="44"/>
      <c r="AD132" s="78"/>
      <c r="AE132" s="78"/>
      <c r="AI132" s="44"/>
      <c r="AJ132" s="327"/>
      <c r="AK132" s="44"/>
      <c r="AL132" s="327"/>
      <c r="AM132" s="44"/>
      <c r="AN132" s="89"/>
      <c r="AO132" s="44"/>
      <c r="AS132" s="44"/>
      <c r="AT132" s="327"/>
      <c r="AU132" s="44"/>
      <c r="AV132" s="327"/>
      <c r="AW132" s="44"/>
      <c r="AX132" s="89"/>
      <c r="AY132" s="44"/>
      <c r="AZ132" s="327"/>
      <c r="BF132" s="59"/>
      <c r="BJ132" s="59"/>
      <c r="BN132" s="59"/>
      <c r="BR132" s="59"/>
      <c r="BV132" s="59"/>
      <c r="BZ132" s="59"/>
      <c r="CD132" s="59"/>
      <c r="CH132" s="59"/>
      <c r="CL132" s="59"/>
      <c r="CP132" s="59"/>
    </row>
    <row r="133" spans="1:94" outlineLevel="1" x14ac:dyDescent="0.25">
      <c r="A133" s="36" t="s">
        <v>241</v>
      </c>
      <c r="B133" s="10"/>
      <c r="C133" s="13"/>
      <c r="D133" s="77" t="s">
        <v>74</v>
      </c>
      <c r="E133" s="66"/>
      <c r="F133" s="67"/>
      <c r="G133" s="67">
        <v>0</v>
      </c>
      <c r="H133" s="67">
        <v>0</v>
      </c>
      <c r="J133" s="78">
        <f>E133*G133*H133</f>
        <v>0</v>
      </c>
      <c r="L133" s="78">
        <f>IF($BD$15&lt;2,0, IF($BD$100="Yes", (E133*G133*H133)*(1+$BD$10),(E133*G133*H133)))</f>
        <v>0</v>
      </c>
      <c r="M133" s="78"/>
      <c r="N133" s="78">
        <f>IF($BD$15&lt;3,0, IF($BD$100="Yes", (E133*G133*H133)*(1+$BD$10)^2,(E133*G133*H133)))</f>
        <v>0</v>
      </c>
      <c r="O133" s="78"/>
      <c r="P133" s="78">
        <f>IF($BD$15&lt;4,0, IF($BD$100="Yes", (E133*G133*H133)*(1+$BD$10)^3,(E133*G133*H133)))</f>
        <v>0</v>
      </c>
      <c r="Q133" s="78"/>
      <c r="R133" s="78">
        <f>IF($BD$15&lt;5,0, IF($BD$100="Yes", (E133*G133*H133)*(1+$BD$10)^4,(E133*G133*H133)))</f>
        <v>0</v>
      </c>
      <c r="S133" s="78"/>
      <c r="T133" s="78">
        <f>IF($BD$15&lt;6,0, IF($BD$100="Yes", (E133*G133*H133)*(1+$BD$10)^5,(E133*G133*H133)))</f>
        <v>0</v>
      </c>
      <c r="V133" s="78">
        <f>IF($BD$15&lt;7,0, IF($BD$100="Yes", (E133*G133*H133)*(1+$BD$10)^6,(E133*G133*H133)))</f>
        <v>0</v>
      </c>
      <c r="W133" s="78"/>
      <c r="X133" s="78">
        <f>IF($BD$15&lt;8,0, IF($BD$100="Yes", (E133*G133*H133)*(1+$BD$10)^7,(E133*G133*H133)))</f>
        <v>0</v>
      </c>
      <c r="Y133" s="78"/>
      <c r="Z133" s="78">
        <f>IF($BD$15&lt;9,0, IF($BD$100="Yes", (E133*G133*H133)*(1+$BD$10)^8,(E133*G133*H133)))</f>
        <v>0</v>
      </c>
      <c r="AA133" s="78"/>
      <c r="AB133" s="78">
        <f>IF($BD$15&lt;10,0, IF($BD$100="Yes", (E133*G133*H133)*(1+$BD$10)^9,(E133*G133*H133)))</f>
        <v>0</v>
      </c>
      <c r="AC133" s="78"/>
      <c r="AD133" s="78">
        <f>J133+L133+N133+P133+R133+T133+V133+X133+Z133+AB133</f>
        <v>0</v>
      </c>
      <c r="AF133" s="327">
        <v>0</v>
      </c>
      <c r="AH133" s="327">
        <v>0</v>
      </c>
      <c r="AI133" s="78"/>
      <c r="AJ133" s="327">
        <v>0</v>
      </c>
      <c r="AK133" s="78"/>
      <c r="AL133" s="327">
        <v>0</v>
      </c>
      <c r="AM133" s="78"/>
      <c r="AN133" s="327">
        <v>0</v>
      </c>
      <c r="AO133" s="78"/>
      <c r="AP133" s="327">
        <v>0</v>
      </c>
      <c r="AR133" s="327">
        <v>0</v>
      </c>
      <c r="AS133" s="78"/>
      <c r="AT133" s="327">
        <v>0</v>
      </c>
      <c r="AU133" s="78"/>
      <c r="AV133" s="327">
        <v>0</v>
      </c>
      <c r="AW133" s="78"/>
      <c r="AX133" s="327">
        <v>0</v>
      </c>
      <c r="AY133" s="78"/>
      <c r="AZ133" s="327">
        <f>AF133+AH133+AJ133+AL133+AN133+AP133+AR133+AT133+AV133+AX133</f>
        <v>0</v>
      </c>
      <c r="BF133" s="59"/>
      <c r="BJ133" s="59"/>
      <c r="BN133" s="59"/>
      <c r="BR133" s="59"/>
      <c r="BV133" s="59"/>
      <c r="BZ133" s="59"/>
      <c r="CD133" s="59"/>
      <c r="CH133" s="59"/>
      <c r="CL133" s="59"/>
      <c r="CP133" s="59"/>
    </row>
    <row r="134" spans="1:94" outlineLevel="1" x14ac:dyDescent="0.25">
      <c r="A134" s="36" t="s">
        <v>241</v>
      </c>
      <c r="B134" s="10"/>
      <c r="C134" s="13"/>
      <c r="D134" s="77" t="s">
        <v>83</v>
      </c>
      <c r="E134" s="66"/>
      <c r="F134" s="67"/>
      <c r="G134" s="67">
        <f>G133</f>
        <v>0</v>
      </c>
      <c r="H134" s="67">
        <f>H133</f>
        <v>0</v>
      </c>
      <c r="J134" s="78">
        <f>E134*F134*G134*H134</f>
        <v>0</v>
      </c>
      <c r="L134" s="78">
        <f>IF($BD$15&lt;2,0, IF($BD$100="Yes", (E134*F134*G134*H134)*(1+$BD$10),(E134*F134*G134*H134)))</f>
        <v>0</v>
      </c>
      <c r="M134" s="44"/>
      <c r="N134" s="78">
        <f>IF($BD$15&lt;3,0, IF($BD$100="Yes", (E134*F134*G134*H134)*(1+$BD$10)^2,(E134*F134*G134*H134)))</f>
        <v>0</v>
      </c>
      <c r="O134" s="44"/>
      <c r="P134" s="78">
        <f>IF($BD$15&lt;4,0, IF($BD$100="Yes", (E134*F134*G134*H134)*(1+$BD$10)^3,(E134*F134*G134*H134)))</f>
        <v>0</v>
      </c>
      <c r="Q134" s="44"/>
      <c r="R134" s="78">
        <f>IF($BD$15&lt;5,0, IF($BD$100="Yes", (E134*F134*G134*H134)*(1+$BD$10)^4,(E134*F134*G134*H134)))</f>
        <v>0</v>
      </c>
      <c r="S134" s="44"/>
      <c r="T134" s="78">
        <f>IF($BD$15&lt;6,0, IF($BD$100="Yes", (E134*F134*G134*H134)*(1+$BD$10)^5,(E134*F134*G134*H134)))</f>
        <v>0</v>
      </c>
      <c r="V134" s="78">
        <f>IF($BD$15&lt;7,0, IF($BD$100="Yes", (E134*F134*G134*H134)*(1+$BD$10)^6,(E134*F134*G134*H134)))</f>
        <v>0</v>
      </c>
      <c r="W134" s="44"/>
      <c r="X134" s="78">
        <f>IF($BD$15&lt;8,0, IF($BD$100="Yes", (E134*F134*G134*H134)*(1+$BD$10)^7,(E134*F134*G134*H134)))</f>
        <v>0</v>
      </c>
      <c r="Y134" s="44"/>
      <c r="Z134" s="78">
        <f>IF($BD$15&lt;9,0, IF($BD$100="Yes", (E134*F134*G134*H134)*(1+$BD$10)^8,(E134*F134*G134*H134)))</f>
        <v>0</v>
      </c>
      <c r="AA134" s="44"/>
      <c r="AB134" s="78">
        <f>IF($BD$15&lt;10,0, IF($BD$100="Yes", (E134*F134*G134*H134)*(1+$BD$10)^9,(E134*F134*G134*H134)))</f>
        <v>0</v>
      </c>
      <c r="AC134" s="78"/>
      <c r="AD134" s="78">
        <f>J134+L134+N134+P134+R134+T134+V134+X134+Z134+AB134</f>
        <v>0</v>
      </c>
      <c r="AF134" s="327">
        <v>0</v>
      </c>
      <c r="AH134" s="327">
        <v>0</v>
      </c>
      <c r="AI134" s="44"/>
      <c r="AJ134" s="327">
        <v>0</v>
      </c>
      <c r="AK134" s="44"/>
      <c r="AL134" s="327">
        <v>0</v>
      </c>
      <c r="AM134" s="44"/>
      <c r="AN134" s="327">
        <v>0</v>
      </c>
      <c r="AO134" s="44"/>
      <c r="AP134" s="327">
        <v>0</v>
      </c>
      <c r="AR134" s="327">
        <v>0</v>
      </c>
      <c r="AS134" s="44"/>
      <c r="AT134" s="327">
        <v>0</v>
      </c>
      <c r="AU134" s="44"/>
      <c r="AV134" s="327">
        <v>0</v>
      </c>
      <c r="AW134" s="44"/>
      <c r="AX134" s="327">
        <v>0</v>
      </c>
      <c r="AY134" s="78"/>
      <c r="AZ134" s="327">
        <f>AF134+AH134+AJ134+AL134+AN134+AP134+AR134+AT134+AV134+AX134</f>
        <v>0</v>
      </c>
      <c r="BF134" s="59"/>
      <c r="BJ134" s="59"/>
      <c r="BN134" s="59"/>
      <c r="BR134" s="59"/>
      <c r="BV134" s="59"/>
      <c r="BZ134" s="59"/>
      <c r="CD134" s="59"/>
      <c r="CH134" s="59"/>
      <c r="CL134" s="59"/>
      <c r="CP134" s="59"/>
    </row>
    <row r="135" spans="1:94" outlineLevel="1" x14ac:dyDescent="0.25">
      <c r="A135" s="36" t="s">
        <v>241</v>
      </c>
      <c r="B135" s="10"/>
      <c r="C135" s="13"/>
      <c r="D135" s="77" t="s">
        <v>263</v>
      </c>
      <c r="E135" s="66"/>
      <c r="F135" s="67"/>
      <c r="G135" s="67">
        <f t="shared" ref="G135:H135" si="31">G134</f>
        <v>0</v>
      </c>
      <c r="H135" s="67">
        <f t="shared" si="31"/>
        <v>0</v>
      </c>
      <c r="J135" s="78">
        <f>E135*F135*G135*H135</f>
        <v>0</v>
      </c>
      <c r="L135" s="78">
        <f>IF($BD$15&lt;2,0, IF($BD$100="Yes", (E135*F135*G135*H135)*(1+$BD$10),(E135*F135*G135*H135)))</f>
        <v>0</v>
      </c>
      <c r="M135" s="44"/>
      <c r="N135" s="78">
        <f>IF($BD$15&lt;3,0, IF($BD$100="Yes", (E135*F135*G135*H135)*(1+$BD$10)^2,(E135*F135*G135*H135)))</f>
        <v>0</v>
      </c>
      <c r="O135" s="44"/>
      <c r="P135" s="78">
        <f>IF($BD$15&lt;4,0, IF($BD$100="Yes", (E135*F135*G135*H135)*(1+$BD$10)^3,(E135*F135*G135*H135)))</f>
        <v>0</v>
      </c>
      <c r="Q135" s="44"/>
      <c r="R135" s="78">
        <f>IF($BD$15&lt;5,0, IF($BD$100="Yes", (E135*F135*G135*H135)*(1+$BD$10)^4,(E135*F135*G135*H135)))</f>
        <v>0</v>
      </c>
      <c r="S135" s="44"/>
      <c r="T135" s="78">
        <f>IF($BD$15&lt;6,0, IF($BD$100="Yes", (E135*F135*G135*H135)*(1+$BD$10)^5,(E135*F135*G135*H135)))</f>
        <v>0</v>
      </c>
      <c r="V135" s="78">
        <f>IF($BD$15&lt;7,0, IF($BD$100="Yes", (E135*F135*G135*H135)*(1+$BD$10)^6,(E135*F135*G135*H135)))</f>
        <v>0</v>
      </c>
      <c r="W135" s="44"/>
      <c r="X135" s="78">
        <f>IF($BD$15&lt;8,0, IF($BD$100="Yes", (E135*F135*G135*H135)*(1+$BD$10)^7,(E135*F135*G135*H135)))</f>
        <v>0</v>
      </c>
      <c r="Y135" s="44"/>
      <c r="Z135" s="78">
        <f>IF($BD$15&lt;9,0, IF($BD$100="Yes", (E135*F135*G135*H135)*(1+$BD$10)^8,(E135*F135*G135*H135)))</f>
        <v>0</v>
      </c>
      <c r="AA135" s="44"/>
      <c r="AB135" s="78">
        <f>IF($BD$15&lt;10,0, IF($BD$100="Yes", (E135*F135*G135*H135)*(1+$BD$10)^9,(E135*F135*G135*H135)))</f>
        <v>0</v>
      </c>
      <c r="AC135" s="78"/>
      <c r="AD135" s="78">
        <f>J135+L135+N135+P135+R135+T135+V135+X135+Z135+AB135</f>
        <v>0</v>
      </c>
      <c r="AE135" s="78"/>
      <c r="AF135" s="327">
        <v>0</v>
      </c>
      <c r="AH135" s="327">
        <v>0</v>
      </c>
      <c r="AI135" s="44"/>
      <c r="AJ135" s="327">
        <v>0</v>
      </c>
      <c r="AK135" s="44"/>
      <c r="AL135" s="327">
        <v>0</v>
      </c>
      <c r="AM135" s="44"/>
      <c r="AN135" s="327">
        <v>0</v>
      </c>
      <c r="AO135" s="44"/>
      <c r="AP135" s="327">
        <v>0</v>
      </c>
      <c r="AR135" s="327">
        <v>0</v>
      </c>
      <c r="AS135" s="44"/>
      <c r="AT135" s="327">
        <v>0</v>
      </c>
      <c r="AU135" s="44"/>
      <c r="AV135" s="327">
        <v>0</v>
      </c>
      <c r="AW135" s="44"/>
      <c r="AX135" s="327">
        <v>0</v>
      </c>
      <c r="AY135" s="78"/>
      <c r="AZ135" s="327">
        <f>AF135+AH135+AJ135+AL135+AN135+AP135+AR135+AT135+AV135+AX135</f>
        <v>0</v>
      </c>
      <c r="BA135" s="44"/>
      <c r="BF135" s="59"/>
      <c r="BJ135" s="59"/>
      <c r="BN135" s="59"/>
      <c r="BR135" s="59"/>
      <c r="BV135" s="59"/>
      <c r="BZ135" s="59"/>
      <c r="CD135" s="59"/>
      <c r="CH135" s="59"/>
      <c r="CL135" s="59"/>
      <c r="CP135" s="59"/>
    </row>
    <row r="136" spans="1:94" outlineLevel="1" x14ac:dyDescent="0.25">
      <c r="A136" s="36" t="s">
        <v>241</v>
      </c>
      <c r="B136" s="10"/>
      <c r="C136" s="13"/>
      <c r="D136" s="77" t="s">
        <v>84</v>
      </c>
      <c r="E136" s="66">
        <v>40</v>
      </c>
      <c r="F136" s="67"/>
      <c r="G136" s="67">
        <f>G135</f>
        <v>0</v>
      </c>
      <c r="H136" s="67">
        <f>H135</f>
        <v>0</v>
      </c>
      <c r="J136" s="78">
        <f>E136*F136*G136*H136</f>
        <v>0</v>
      </c>
      <c r="L136" s="78">
        <f>IF($BD$15&lt;2,0, IF($BD$100="Yes", (E136*F136*G136*H136)*(1+$BD$10),(E136*F136*G136*H136)))</f>
        <v>0</v>
      </c>
      <c r="M136" s="78"/>
      <c r="N136" s="78">
        <f>IF($BD$15&lt;3,0, IF($BD$100="Yes", (E136*F136*G136*H136)*(1+$BD$10)^2,(E136*F136*G136*H136)))</f>
        <v>0</v>
      </c>
      <c r="O136" s="78"/>
      <c r="P136" s="78">
        <f>IF($BD$15&lt;4,0, IF($BD$100="Yes", (E136*F136*G136*H136)*(1+$BD$10)^3,(E136*F136*G136*H136)))</f>
        <v>0</v>
      </c>
      <c r="Q136" s="78"/>
      <c r="R136" s="78">
        <f>IF($BD$15&lt;5,0, IF($BD$100="Yes", (E136*F136*G136*H136)*(1+$BD$10)^4,(E136*F136*G136*H136)))</f>
        <v>0</v>
      </c>
      <c r="S136" s="78"/>
      <c r="T136" s="78">
        <f>IF($BD$15&lt;6,0, IF($BD$100="Yes", (E136*F136*G136*H136)*(1+$BD$10)^5,(E136*F136*G136*H136)))</f>
        <v>0</v>
      </c>
      <c r="V136" s="78">
        <f>IF($BD$15&lt;7,0, IF($BD$100="Yes", (E136*F136*G136*H136)*(1+$BD$10)^6,(E136*F136*G136*H136)))</f>
        <v>0</v>
      </c>
      <c r="W136" s="78"/>
      <c r="X136" s="78">
        <f>IF($BD$15&lt;8,0, IF($BD$100="Yes", (E136*F136*G136*H136)*(1+$BD$10)^7,(E136*F136*G136*H136)))</f>
        <v>0</v>
      </c>
      <c r="Y136" s="78"/>
      <c r="Z136" s="78">
        <f>IF($BD$15&lt;9,0, IF($BD$100="Yes", (E136*F136*G136*H136)*(1+$BD$10)^8,(E136*F136*G136*H136)))</f>
        <v>0</v>
      </c>
      <c r="AA136" s="78"/>
      <c r="AB136" s="78">
        <f>IF($BD$15&lt;10,0, IF($BD$100="Yes", (E136*F136*G136*H136)*(1+$BD$10)^9,(E136*F136*G136*H136)))</f>
        <v>0</v>
      </c>
      <c r="AC136" s="78"/>
      <c r="AD136" s="78">
        <f>J136+L136+N136+P136+R136+T136+V136+X136+Z136+AB136</f>
        <v>0</v>
      </c>
      <c r="AE136" s="78"/>
      <c r="AF136" s="327">
        <v>0</v>
      </c>
      <c r="AH136" s="327">
        <v>0</v>
      </c>
      <c r="AI136" s="78"/>
      <c r="AJ136" s="327">
        <v>0</v>
      </c>
      <c r="AK136" s="78"/>
      <c r="AL136" s="327">
        <v>0</v>
      </c>
      <c r="AM136" s="78"/>
      <c r="AN136" s="327">
        <v>0</v>
      </c>
      <c r="AO136" s="78"/>
      <c r="AP136" s="327">
        <v>0</v>
      </c>
      <c r="AR136" s="327">
        <v>0</v>
      </c>
      <c r="AS136" s="78"/>
      <c r="AT136" s="327">
        <v>0</v>
      </c>
      <c r="AU136" s="78"/>
      <c r="AV136" s="327">
        <v>0</v>
      </c>
      <c r="AW136" s="78"/>
      <c r="AX136" s="327">
        <v>0</v>
      </c>
      <c r="AY136" s="78"/>
      <c r="AZ136" s="327">
        <f>AF136+AH136+AJ136+AL136+AN136+AP136+AR136+AT136+AV136+AX136</f>
        <v>0</v>
      </c>
      <c r="BF136" s="59"/>
      <c r="BJ136" s="59"/>
      <c r="BN136" s="59"/>
      <c r="BR136" s="59"/>
      <c r="BV136" s="59"/>
      <c r="BZ136" s="59"/>
      <c r="CD136" s="59"/>
      <c r="CH136" s="59"/>
      <c r="CL136" s="59"/>
      <c r="CP136" s="59"/>
    </row>
    <row r="137" spans="1:94" outlineLevel="1" x14ac:dyDescent="0.25">
      <c r="A137" s="36"/>
      <c r="B137" s="10"/>
      <c r="C137" s="13"/>
      <c r="E137" s="66"/>
      <c r="F137" s="67"/>
      <c r="G137" s="67"/>
      <c r="H137" s="67"/>
      <c r="M137" s="44"/>
      <c r="N137" s="78"/>
      <c r="O137" s="44"/>
      <c r="P137" s="78"/>
      <c r="Q137" s="44"/>
      <c r="R137" s="78"/>
      <c r="S137" s="44"/>
      <c r="W137" s="44"/>
      <c r="X137" s="78"/>
      <c r="Y137" s="44"/>
      <c r="Z137" s="78"/>
      <c r="AA137" s="44"/>
      <c r="AB137" s="78"/>
      <c r="AC137" s="78"/>
      <c r="AD137" s="78"/>
      <c r="AE137" s="78"/>
      <c r="AI137" s="44"/>
      <c r="AJ137" s="327"/>
      <c r="AK137" s="44"/>
      <c r="AL137" s="327"/>
      <c r="AM137" s="44"/>
      <c r="AN137" s="327"/>
      <c r="AO137" s="44"/>
      <c r="AS137" s="44"/>
      <c r="AT137" s="327"/>
      <c r="AU137" s="44"/>
      <c r="AV137" s="327"/>
      <c r="AW137" s="44"/>
      <c r="AX137" s="327"/>
      <c r="AY137" s="78"/>
      <c r="AZ137" s="327"/>
      <c r="BF137" s="59"/>
      <c r="BJ137" s="59"/>
      <c r="BN137" s="59"/>
      <c r="BR137" s="59"/>
      <c r="BV137" s="59"/>
      <c r="BZ137" s="59"/>
      <c r="CD137" s="59"/>
      <c r="CH137" s="59"/>
      <c r="CL137" s="59"/>
      <c r="CP137" s="59"/>
    </row>
    <row r="138" spans="1:94" outlineLevel="1" x14ac:dyDescent="0.25">
      <c r="A138" s="36"/>
      <c r="B138" s="10"/>
      <c r="C138" s="12" t="s">
        <v>73</v>
      </c>
      <c r="E138" s="66"/>
      <c r="F138" s="67"/>
      <c r="G138" s="67"/>
      <c r="H138" s="67"/>
      <c r="M138" s="44"/>
      <c r="N138" s="78"/>
      <c r="O138" s="44"/>
      <c r="P138" s="78"/>
      <c r="Q138" s="44"/>
      <c r="R138" s="78"/>
      <c r="S138" s="44"/>
      <c r="W138" s="44"/>
      <c r="X138" s="78"/>
      <c r="Y138" s="44"/>
      <c r="Z138" s="78"/>
      <c r="AA138" s="44"/>
      <c r="AB138" s="78"/>
      <c r="AC138" s="44"/>
      <c r="AD138" s="78"/>
      <c r="AE138" s="78"/>
      <c r="AI138" s="44"/>
      <c r="AJ138" s="327"/>
      <c r="AK138" s="44"/>
      <c r="AL138" s="327"/>
      <c r="AM138" s="44"/>
      <c r="AN138" s="327"/>
      <c r="AO138" s="44"/>
      <c r="AS138" s="44"/>
      <c r="AT138" s="327"/>
      <c r="AU138" s="44"/>
      <c r="AV138" s="327"/>
      <c r="AW138" s="44"/>
      <c r="AX138" s="327"/>
      <c r="AY138" s="44"/>
      <c r="AZ138" s="327"/>
      <c r="BF138" s="59"/>
      <c r="BJ138" s="59"/>
      <c r="BN138" s="59"/>
      <c r="BR138" s="59"/>
      <c r="BV138" s="59"/>
      <c r="BZ138" s="59"/>
      <c r="CD138" s="59"/>
      <c r="CH138" s="59"/>
      <c r="CL138" s="59"/>
      <c r="CP138" s="59"/>
    </row>
    <row r="139" spans="1:94" outlineLevel="1" x14ac:dyDescent="0.25">
      <c r="A139" s="36" t="s">
        <v>241</v>
      </c>
      <c r="B139" s="10"/>
      <c r="C139" s="13"/>
      <c r="D139" s="77" t="s">
        <v>74</v>
      </c>
      <c r="E139" s="66"/>
      <c r="F139" s="67"/>
      <c r="G139" s="67">
        <v>0</v>
      </c>
      <c r="H139" s="67">
        <v>0</v>
      </c>
      <c r="J139" s="78">
        <f>E139*G139*H139</f>
        <v>0</v>
      </c>
      <c r="L139" s="78">
        <f>IF($BD$15&lt;2,0, IF($BD$100="Yes", (E139*G139*H139)*(1+$BD$10),(E139*G139*H139)))</f>
        <v>0</v>
      </c>
      <c r="M139" s="78"/>
      <c r="N139" s="78">
        <f>IF($BD$15&lt;3,0, IF($BD$100="Yes", (E139*G139*H139)*(1+$BD$10)^2,(E139*G139*H139)))</f>
        <v>0</v>
      </c>
      <c r="O139" s="78"/>
      <c r="P139" s="78">
        <f>IF($BD$15&lt;4,0, IF($BD$100="Yes", (E139*G139*H139)*(1+$BD$10)^3,(E139*G139*H139)))</f>
        <v>0</v>
      </c>
      <c r="Q139" s="78"/>
      <c r="R139" s="78">
        <f>IF($BD$15&lt;5,0, IF($BD$100="Yes", (E139*G139*H139)*(1+$BD$10)^4,(E139*G139*H139)))</f>
        <v>0</v>
      </c>
      <c r="S139" s="78"/>
      <c r="T139" s="78">
        <f>IF($BD$15&lt;6,0, IF($BD$100="Yes", (E139*G139*H139)*(1+$BD$10)^5,(E139*G139*H139)))</f>
        <v>0</v>
      </c>
      <c r="V139" s="78">
        <f>IF($BD$15&lt;7,0, IF($BD$100="Yes", (E139*G139*H139)*(1+$BD$10)^6,(E139*G139*H139)))</f>
        <v>0</v>
      </c>
      <c r="W139" s="78"/>
      <c r="X139" s="78">
        <f>IF($BD$15&lt;8,0, IF($BD$100="Yes", (E139*G139*H139)*(1+$BD$10)^7,(E139*G139*H139)))</f>
        <v>0</v>
      </c>
      <c r="Y139" s="78"/>
      <c r="Z139" s="78">
        <f>IF($BD$15&lt;9,0, IF($BD$100="Yes", (E139*G139*H139)*(1+$BD$10)^8,(E139*G139*H139)))</f>
        <v>0</v>
      </c>
      <c r="AA139" s="78"/>
      <c r="AB139" s="78">
        <f>IF($BD$15&lt;10,0, IF($BD$100="Yes", (E139*G139*H139)*(1+$BD$10)^9,(E139*G139*H139)))</f>
        <v>0</v>
      </c>
      <c r="AC139" s="78"/>
      <c r="AD139" s="78">
        <f>J139+L139+N139+P139+R139+T139+V139+X139+Z139+AB139</f>
        <v>0</v>
      </c>
      <c r="AF139" s="327">
        <v>0</v>
      </c>
      <c r="AH139" s="327">
        <v>0</v>
      </c>
      <c r="AI139" s="78"/>
      <c r="AJ139" s="327">
        <v>0</v>
      </c>
      <c r="AK139" s="78"/>
      <c r="AL139" s="327">
        <v>0</v>
      </c>
      <c r="AM139" s="78"/>
      <c r="AN139" s="327">
        <v>0</v>
      </c>
      <c r="AO139" s="78"/>
      <c r="AP139" s="327">
        <v>0</v>
      </c>
      <c r="AR139" s="327">
        <v>0</v>
      </c>
      <c r="AS139" s="78"/>
      <c r="AT139" s="327">
        <v>0</v>
      </c>
      <c r="AU139" s="78"/>
      <c r="AV139" s="327">
        <v>0</v>
      </c>
      <c r="AW139" s="78"/>
      <c r="AX139" s="327">
        <v>0</v>
      </c>
      <c r="AY139" s="78"/>
      <c r="AZ139" s="327">
        <f>AF139+AH139+AJ139+AL139+AN139+AP139+AR139+AT139+AV139+AX139</f>
        <v>0</v>
      </c>
      <c r="BF139" s="59"/>
      <c r="BJ139" s="59"/>
      <c r="BN139" s="59"/>
      <c r="BR139" s="59"/>
      <c r="BV139" s="59"/>
      <c r="BZ139" s="59"/>
      <c r="CD139" s="59"/>
      <c r="CH139" s="59"/>
      <c r="CL139" s="59"/>
      <c r="CP139" s="59"/>
    </row>
    <row r="140" spans="1:94" outlineLevel="1" x14ac:dyDescent="0.25">
      <c r="A140" s="36" t="s">
        <v>241</v>
      </c>
      <c r="B140" s="10"/>
      <c r="C140" s="13"/>
      <c r="D140" s="77" t="s">
        <v>83</v>
      </c>
      <c r="E140" s="66"/>
      <c r="F140" s="67"/>
      <c r="G140" s="67">
        <f>G139</f>
        <v>0</v>
      </c>
      <c r="H140" s="67">
        <f>H139</f>
        <v>0</v>
      </c>
      <c r="J140" s="78">
        <f>E140*F140*G140*H140</f>
        <v>0</v>
      </c>
      <c r="L140" s="78">
        <f>IF($BD$15&lt;2,0, IF($BD$100="Yes", (E140*F140*G140*H140)*(1+$BD$10),(E140*F140*G140*H140)))</f>
        <v>0</v>
      </c>
      <c r="M140" s="44"/>
      <c r="N140" s="78">
        <f>IF($BD$15&lt;3,0, IF($BD$100="Yes", (E140*F140*G140*H140)*(1+$BD$10)^2,(E140*F140*G140*H140)))</f>
        <v>0</v>
      </c>
      <c r="O140" s="44"/>
      <c r="P140" s="78">
        <f>IF($BD$15&lt;4,0, IF($BD$100="Yes", (E140*F140*G140*H140)*(1+$BD$10)^3,(E140*F140*G140*H140)))</f>
        <v>0</v>
      </c>
      <c r="Q140" s="44"/>
      <c r="R140" s="78">
        <f>IF($BD$15&lt;5,0, IF($BD$100="Yes", (E140*F140*G140*H140)*(1+$BD$10)^4,(E140*F140*G140*H140)))</f>
        <v>0</v>
      </c>
      <c r="S140" s="44"/>
      <c r="T140" s="78">
        <f>IF($BD$15&lt;6,0, IF($BD$100="Yes", (E140*F140*G140*H140)*(1+$BD$10)^5,(E140*F140*G140*H140)))</f>
        <v>0</v>
      </c>
      <c r="V140" s="78">
        <f>IF($BD$15&lt;7,0, IF($BD$100="Yes", (E140*F140*G140*H140)*(1+$BD$10)^6,(E140*F140*G140*H140)))</f>
        <v>0</v>
      </c>
      <c r="W140" s="44"/>
      <c r="X140" s="78">
        <f>IF($BD$15&lt;8,0, IF($BD$100="Yes", (E140*F140*G140*H140)*(1+$BD$10)^7,(E140*F140*G140*H140)))</f>
        <v>0</v>
      </c>
      <c r="Y140" s="44"/>
      <c r="Z140" s="78">
        <f>IF($BD$15&lt;9,0, IF($BD$100="Yes", (E140*F140*G140*H140)*(1+$BD$10)^8,(E140*F140*G140*H140)))</f>
        <v>0</v>
      </c>
      <c r="AA140" s="44"/>
      <c r="AB140" s="78">
        <f>IF($BD$15&lt;10,0, IF($BD$100="Yes", (E140*F140*G140*H140)*(1+$BD$10)^9,(E140*F140*G140*H140)))</f>
        <v>0</v>
      </c>
      <c r="AC140" s="78"/>
      <c r="AD140" s="78">
        <f>J140+L140+N140+P140+R140+T140+V140+X140+Z140+AB140</f>
        <v>0</v>
      </c>
      <c r="AF140" s="327">
        <v>0</v>
      </c>
      <c r="AH140" s="327">
        <v>0</v>
      </c>
      <c r="AI140" s="44"/>
      <c r="AJ140" s="327">
        <v>0</v>
      </c>
      <c r="AK140" s="44"/>
      <c r="AL140" s="327">
        <v>0</v>
      </c>
      <c r="AM140" s="44"/>
      <c r="AN140" s="327">
        <v>0</v>
      </c>
      <c r="AO140" s="44"/>
      <c r="AP140" s="327">
        <v>0</v>
      </c>
      <c r="AR140" s="327">
        <v>0</v>
      </c>
      <c r="AS140" s="44"/>
      <c r="AT140" s="327">
        <v>0</v>
      </c>
      <c r="AU140" s="44"/>
      <c r="AV140" s="327">
        <v>0</v>
      </c>
      <c r="AW140" s="44"/>
      <c r="AX140" s="327">
        <v>0</v>
      </c>
      <c r="AY140" s="78"/>
      <c r="AZ140" s="327">
        <f>AF140+AH140+AJ140+AL140+AN140+AP140+AR140+AT140+AV140+AX140</f>
        <v>0</v>
      </c>
      <c r="BF140" s="59"/>
      <c r="BJ140" s="59"/>
      <c r="BN140" s="59"/>
      <c r="BR140" s="59"/>
      <c r="BV140" s="59"/>
      <c r="BZ140" s="59"/>
      <c r="CD140" s="59"/>
      <c r="CH140" s="59"/>
      <c r="CL140" s="59"/>
      <c r="CP140" s="59"/>
    </row>
    <row r="141" spans="1:94" outlineLevel="1" x14ac:dyDescent="0.25">
      <c r="A141" s="36" t="s">
        <v>241</v>
      </c>
      <c r="B141" s="10"/>
      <c r="C141" s="13"/>
      <c r="D141" s="77" t="s">
        <v>263</v>
      </c>
      <c r="E141" s="66"/>
      <c r="F141" s="67"/>
      <c r="G141" s="67">
        <f t="shared" ref="G141:H141" si="32">G140</f>
        <v>0</v>
      </c>
      <c r="H141" s="67">
        <f t="shared" si="32"/>
        <v>0</v>
      </c>
      <c r="J141" s="78">
        <f>E141*F141*G141*H141</f>
        <v>0</v>
      </c>
      <c r="L141" s="78">
        <f>IF($BD$15&lt;2,0, IF($BD$100="Yes", (E141*F141*G141*H141)*(1+$BD$10),(E141*F141*G141*H141)))</f>
        <v>0</v>
      </c>
      <c r="M141" s="44"/>
      <c r="N141" s="78">
        <f>IF($BD$15&lt;3,0, IF($BD$100="Yes", (E141*F141*G141*H141)*(1+$BD$10)^2,(E141*F141*G141*H141)))</f>
        <v>0</v>
      </c>
      <c r="O141" s="44"/>
      <c r="P141" s="78">
        <f>IF($BD$15&lt;4,0, IF($BD$100="Yes", (E141*F141*G141*H141)*(1+$BD$10)^3,(E141*F141*G141*H141)))</f>
        <v>0</v>
      </c>
      <c r="Q141" s="44"/>
      <c r="R141" s="78">
        <f>IF($BD$15&lt;5,0, IF($BD$100="Yes", (E141*F141*G141*H141)*(1+$BD$10)^4,(E141*F141*G141*H141)))</f>
        <v>0</v>
      </c>
      <c r="S141" s="44"/>
      <c r="T141" s="78">
        <f>IF($BD$15&lt;6,0, IF($BD$100="Yes", (E141*F141*G141*H141)*(1+$BD$10)^5,(E141*F141*G141*H141)))</f>
        <v>0</v>
      </c>
      <c r="V141" s="78">
        <f>IF($BD$15&lt;7,0, IF($BD$100="Yes", (E141*F141*G141*H141)*(1+$BD$10)^6,(E141*F141*G141*H141)))</f>
        <v>0</v>
      </c>
      <c r="W141" s="44"/>
      <c r="X141" s="78">
        <f>IF($BD$15&lt;8,0, IF($BD$100="Yes", (E141*F141*G141*H141)*(1+$BD$10)^7,(E141*F141*G141*H141)))</f>
        <v>0</v>
      </c>
      <c r="Y141" s="44"/>
      <c r="Z141" s="78">
        <f>IF($BD$15&lt;9,0, IF($BD$100="Yes", (E141*F141*G141*H141)*(1+$BD$10)^8,(E141*F141*G141*H141)))</f>
        <v>0</v>
      </c>
      <c r="AA141" s="44"/>
      <c r="AB141" s="78">
        <f>IF($BD$15&lt;10,0, IF($BD$100="Yes", (E141*F141*G141*H141)*(1+$BD$10)^9,(E141*F141*G141*H141)))</f>
        <v>0</v>
      </c>
      <c r="AC141" s="78"/>
      <c r="AD141" s="78">
        <f>J141+L141+N141+P141+R141+T141+V141+X141+Z141+AB141</f>
        <v>0</v>
      </c>
      <c r="AE141" s="78"/>
      <c r="AF141" s="327">
        <v>0</v>
      </c>
      <c r="AH141" s="327">
        <v>0</v>
      </c>
      <c r="AI141" s="44"/>
      <c r="AJ141" s="327">
        <v>0</v>
      </c>
      <c r="AK141" s="44"/>
      <c r="AL141" s="327">
        <v>0</v>
      </c>
      <c r="AM141" s="44"/>
      <c r="AN141" s="327">
        <v>0</v>
      </c>
      <c r="AO141" s="44"/>
      <c r="AP141" s="327">
        <v>0</v>
      </c>
      <c r="AR141" s="327">
        <v>0</v>
      </c>
      <c r="AS141" s="44"/>
      <c r="AT141" s="327">
        <v>0</v>
      </c>
      <c r="AU141" s="44"/>
      <c r="AV141" s="327">
        <v>0</v>
      </c>
      <c r="AW141" s="44"/>
      <c r="AX141" s="327">
        <v>0</v>
      </c>
      <c r="AY141" s="78"/>
      <c r="AZ141" s="327">
        <f>AF141+AH141+AJ141+AL141+AN141+AP141+AR141+AT141+AV141+AX141</f>
        <v>0</v>
      </c>
      <c r="BA141" s="44"/>
      <c r="BF141" s="59"/>
      <c r="BJ141" s="59"/>
      <c r="BN141" s="59"/>
      <c r="BR141" s="59"/>
      <c r="BV141" s="59"/>
      <c r="BZ141" s="59"/>
      <c r="CD141" s="59"/>
      <c r="CH141" s="59"/>
      <c r="CL141" s="59"/>
      <c r="CP141" s="59"/>
    </row>
    <row r="142" spans="1:94" outlineLevel="1" x14ac:dyDescent="0.25">
      <c r="A142" s="36" t="s">
        <v>241</v>
      </c>
      <c r="B142" s="10"/>
      <c r="C142" s="13"/>
      <c r="D142" s="77" t="s">
        <v>84</v>
      </c>
      <c r="E142" s="66">
        <v>40</v>
      </c>
      <c r="F142" s="67"/>
      <c r="G142" s="67">
        <f>G141</f>
        <v>0</v>
      </c>
      <c r="H142" s="67">
        <f>H141</f>
        <v>0</v>
      </c>
      <c r="J142" s="78">
        <f>E142*F142*G142*H142</f>
        <v>0</v>
      </c>
      <c r="L142" s="78">
        <f>IF($BD$15&lt;2,0, IF($BD$100="Yes", (E142*F142*G142*H142)*(1+$BD$10),(E142*F142*G142*H142)))</f>
        <v>0</v>
      </c>
      <c r="M142" s="78"/>
      <c r="N142" s="78">
        <f>IF($BD$15&lt;3,0, IF($BD$100="Yes", (E142*F142*G142*H142)*(1+$BD$10)^2,(E142*F142*G142*H142)))</f>
        <v>0</v>
      </c>
      <c r="O142" s="78"/>
      <c r="P142" s="78">
        <f>IF($BD$15&lt;4,0, IF($BD$100="Yes", (E142*F142*G142*H142)*(1+$BD$10)^3,(E142*F142*G142*H142)))</f>
        <v>0</v>
      </c>
      <c r="Q142" s="78"/>
      <c r="R142" s="78">
        <f>IF($BD$15&lt;5,0, IF($BD$100="Yes", (E142*F142*G142*H142)*(1+$BD$10)^4,(E142*F142*G142*H142)))</f>
        <v>0</v>
      </c>
      <c r="S142" s="78"/>
      <c r="T142" s="78">
        <f>IF($BD$15&lt;6,0, IF($BD$100="Yes", (E142*F142*G142*H142)*(1+$BD$10)^5,(E142*F142*G142*H142)))</f>
        <v>0</v>
      </c>
      <c r="V142" s="78">
        <f>IF($BD$15&lt;7,0, IF($BD$100="Yes", (E142*F142*G142*H142)*(1+$BD$10)^6,(E142*F142*G142*H142)))</f>
        <v>0</v>
      </c>
      <c r="W142" s="78"/>
      <c r="X142" s="78">
        <f>IF($BD$15&lt;8,0, IF($BD$100="Yes", (E142*F142*G142*H142)*(1+$BD$10)^7,(E142*F142*G142*H142)))</f>
        <v>0</v>
      </c>
      <c r="Y142" s="78"/>
      <c r="Z142" s="78">
        <f>IF($BD$15&lt;9,0, IF($BD$100="Yes", (E142*F142*G142*H142)*(1+$BD$10)^8,(E142*F142*G142*H142)))</f>
        <v>0</v>
      </c>
      <c r="AA142" s="78"/>
      <c r="AB142" s="78">
        <f>IF($BD$15&lt;10,0, IF($BD$100="Yes", (E142*F142*G142*H142)*(1+$BD$10)^9,(E142*F142*G142*H142)))</f>
        <v>0</v>
      </c>
      <c r="AC142" s="78"/>
      <c r="AD142" s="78">
        <f>J142+L142+N142+P142+R142+T142+V142+X142+Z142+AB142</f>
        <v>0</v>
      </c>
      <c r="AE142" s="78"/>
      <c r="AF142" s="327">
        <v>0</v>
      </c>
      <c r="AH142" s="327">
        <v>0</v>
      </c>
      <c r="AI142" s="78"/>
      <c r="AJ142" s="327">
        <v>0</v>
      </c>
      <c r="AK142" s="78"/>
      <c r="AL142" s="327">
        <v>0</v>
      </c>
      <c r="AM142" s="78"/>
      <c r="AN142" s="327">
        <v>0</v>
      </c>
      <c r="AO142" s="78"/>
      <c r="AP142" s="327">
        <v>0</v>
      </c>
      <c r="AR142" s="327">
        <v>0</v>
      </c>
      <c r="AS142" s="78"/>
      <c r="AT142" s="327">
        <v>0</v>
      </c>
      <c r="AU142" s="78"/>
      <c r="AV142" s="327">
        <v>0</v>
      </c>
      <c r="AW142" s="78"/>
      <c r="AX142" s="327">
        <v>0</v>
      </c>
      <c r="AY142" s="78"/>
      <c r="AZ142" s="327">
        <f>AF142+AH142+AJ142+AL142+AN142+AP142+AR142+AT142+AV142+AX142</f>
        <v>0</v>
      </c>
      <c r="BF142" s="59"/>
      <c r="BJ142" s="59"/>
      <c r="BN142" s="59"/>
      <c r="BR142" s="59"/>
      <c r="BV142" s="59"/>
      <c r="BZ142" s="59"/>
      <c r="CD142" s="59"/>
      <c r="CH142" s="59"/>
      <c r="CL142" s="59"/>
      <c r="CP142" s="59"/>
    </row>
    <row r="143" spans="1:94" outlineLevel="1" x14ac:dyDescent="0.25">
      <c r="A143" s="36"/>
      <c r="B143" s="10"/>
      <c r="E143" s="66"/>
      <c r="F143" s="67"/>
      <c r="G143" s="67"/>
      <c r="H143" s="67"/>
      <c r="M143" s="44"/>
      <c r="N143" s="78"/>
      <c r="O143" s="44"/>
      <c r="P143" s="78"/>
      <c r="Q143" s="44"/>
      <c r="R143" s="78"/>
      <c r="S143" s="44"/>
      <c r="W143" s="44"/>
      <c r="X143" s="78"/>
      <c r="Y143" s="44"/>
      <c r="Z143" s="78"/>
      <c r="AA143" s="44"/>
      <c r="AB143" s="78"/>
      <c r="AC143" s="78"/>
      <c r="AD143" s="78"/>
      <c r="AE143" s="78"/>
      <c r="AI143" s="44"/>
      <c r="AJ143" s="327"/>
      <c r="AK143" s="44"/>
      <c r="AL143" s="327"/>
      <c r="AM143" s="44"/>
      <c r="AN143" s="327"/>
      <c r="AO143" s="44"/>
      <c r="AS143" s="44"/>
      <c r="AT143" s="327"/>
      <c r="AU143" s="44"/>
      <c r="AV143" s="327"/>
      <c r="AW143" s="44"/>
      <c r="AX143" s="327"/>
      <c r="AY143" s="78"/>
      <c r="AZ143" s="327"/>
      <c r="BF143" s="59"/>
      <c r="BJ143" s="59"/>
      <c r="BN143" s="59"/>
      <c r="BR143" s="59"/>
      <c r="BV143" s="59"/>
      <c r="BZ143" s="59"/>
      <c r="CD143" s="59"/>
      <c r="CH143" s="59"/>
      <c r="CL143" s="59"/>
      <c r="CP143" s="59"/>
    </row>
    <row r="144" spans="1:94" outlineLevel="1" x14ac:dyDescent="0.25">
      <c r="A144" s="36"/>
      <c r="B144" s="10"/>
      <c r="C144" s="12" t="s">
        <v>73</v>
      </c>
      <c r="E144" s="66"/>
      <c r="F144" s="67"/>
      <c r="G144" s="67"/>
      <c r="H144" s="67"/>
      <c r="M144" s="44"/>
      <c r="N144" s="78"/>
      <c r="O144" s="44"/>
      <c r="P144" s="78"/>
      <c r="Q144" s="44"/>
      <c r="R144" s="78"/>
      <c r="S144" s="44"/>
      <c r="W144" s="44"/>
      <c r="X144" s="78"/>
      <c r="Y144" s="44"/>
      <c r="Z144" s="78"/>
      <c r="AA144" s="44"/>
      <c r="AB144" s="78"/>
      <c r="AC144" s="44"/>
      <c r="AD144" s="78"/>
      <c r="AE144" s="78"/>
      <c r="AI144" s="44"/>
      <c r="AJ144" s="327"/>
      <c r="AK144" s="44"/>
      <c r="AL144" s="327"/>
      <c r="AM144" s="44"/>
      <c r="AN144" s="327"/>
      <c r="AO144" s="44"/>
      <c r="AS144" s="44"/>
      <c r="AT144" s="327"/>
      <c r="AU144" s="44"/>
      <c r="AV144" s="327"/>
      <c r="AW144" s="44"/>
      <c r="AX144" s="327"/>
      <c r="AY144" s="44"/>
      <c r="AZ144" s="327"/>
      <c r="BF144" s="59"/>
      <c r="BJ144" s="59"/>
      <c r="BN144" s="59"/>
      <c r="BR144" s="59"/>
      <c r="BV144" s="59"/>
      <c r="BZ144" s="59"/>
      <c r="CD144" s="59"/>
      <c r="CH144" s="59"/>
      <c r="CL144" s="59"/>
      <c r="CP144" s="59"/>
    </row>
    <row r="145" spans="1:94" outlineLevel="1" x14ac:dyDescent="0.25">
      <c r="A145" s="36" t="s">
        <v>241</v>
      </c>
      <c r="B145" s="10"/>
      <c r="C145" s="13"/>
      <c r="D145" s="77" t="s">
        <v>74</v>
      </c>
      <c r="E145" s="66"/>
      <c r="F145" s="67"/>
      <c r="G145" s="67">
        <v>0</v>
      </c>
      <c r="H145" s="67">
        <v>0</v>
      </c>
      <c r="J145" s="78">
        <f>E145*G145*H145</f>
        <v>0</v>
      </c>
      <c r="L145" s="78">
        <f>IF($BD$15&lt;2,0, IF($BD$100="Yes", (E145*G145*H145)*(1+$BD$10),(E145*G145*H145)))</f>
        <v>0</v>
      </c>
      <c r="M145" s="78"/>
      <c r="N145" s="78">
        <f>IF($BD$15&lt;3,0, IF($BD$100="Yes", (E145*G145*H145)*(1+$BD$10)^2,(E145*G145*H145)))</f>
        <v>0</v>
      </c>
      <c r="O145" s="78"/>
      <c r="P145" s="78">
        <f>IF($BD$15&lt;4,0, IF($BD$100="Yes", (E145*G145*H145)*(1+$BD$10)^3,(E145*G145*H145)))</f>
        <v>0</v>
      </c>
      <c r="Q145" s="78"/>
      <c r="R145" s="78">
        <f>IF($BD$15&lt;5,0, IF($BD$100="Yes", (E145*G145*H145)*(1+$BD$10)^4,(E145*G145*H145)))</f>
        <v>0</v>
      </c>
      <c r="S145" s="78"/>
      <c r="T145" s="78">
        <f>IF($BD$15&lt;6,0, IF($BD$100="Yes", (E145*G145*H145)*(1+$BD$10)^5,(E145*G145*H145)))</f>
        <v>0</v>
      </c>
      <c r="V145" s="78">
        <f>IF($BD$15&lt;7,0, IF($BD$100="Yes", (E145*G145*H145)*(1+$BD$10)^6,(E145*G145*H145)))</f>
        <v>0</v>
      </c>
      <c r="W145" s="78"/>
      <c r="X145" s="78">
        <f>IF($BD$15&lt;8,0, IF($BD$100="Yes", (E145*G145*H145)*(1+$BD$10)^7,(E145*G145*H145)))</f>
        <v>0</v>
      </c>
      <c r="Y145" s="78"/>
      <c r="Z145" s="78">
        <f>IF($BD$15&lt;9,0, IF($BD$100="Yes", (E145*G145*H145)*(1+$BD$10)^8,(E145*G145*H145)))</f>
        <v>0</v>
      </c>
      <c r="AA145" s="78"/>
      <c r="AB145" s="78">
        <f>IF($BD$15&lt;10,0, IF($BD$100="Yes", (E145*G145*H145)*(1+$BD$10)^9,(E145*G145*H145)))</f>
        <v>0</v>
      </c>
      <c r="AC145" s="78"/>
      <c r="AD145" s="78">
        <f>J145+L145+N145+P145+R145+T145+V145+X145+Z145+AB145</f>
        <v>0</v>
      </c>
      <c r="AF145" s="327">
        <v>0</v>
      </c>
      <c r="AH145" s="327">
        <v>0</v>
      </c>
      <c r="AI145" s="78"/>
      <c r="AJ145" s="327">
        <v>0</v>
      </c>
      <c r="AK145" s="78"/>
      <c r="AL145" s="327">
        <v>0</v>
      </c>
      <c r="AM145" s="78"/>
      <c r="AN145" s="327">
        <v>0</v>
      </c>
      <c r="AO145" s="78"/>
      <c r="AP145" s="327">
        <v>0</v>
      </c>
      <c r="AR145" s="327">
        <v>0</v>
      </c>
      <c r="AS145" s="78"/>
      <c r="AT145" s="327">
        <v>0</v>
      </c>
      <c r="AU145" s="78"/>
      <c r="AV145" s="327">
        <v>0</v>
      </c>
      <c r="AW145" s="78"/>
      <c r="AX145" s="327">
        <v>0</v>
      </c>
      <c r="AY145" s="78"/>
      <c r="AZ145" s="327">
        <f>AF145+AH145+AJ145+AL145+AN145+AP145+AR145+AT145+AV145+AX145</f>
        <v>0</v>
      </c>
      <c r="BF145" s="59"/>
      <c r="BJ145" s="59"/>
      <c r="BN145" s="59"/>
      <c r="BR145" s="59"/>
      <c r="BV145" s="59"/>
      <c r="BZ145" s="59"/>
      <c r="CD145" s="59"/>
      <c r="CH145" s="59"/>
      <c r="CL145" s="59"/>
      <c r="CP145" s="59"/>
    </row>
    <row r="146" spans="1:94" outlineLevel="1" x14ac:dyDescent="0.25">
      <c r="A146" s="36" t="s">
        <v>241</v>
      </c>
      <c r="B146" s="10"/>
      <c r="C146" s="13"/>
      <c r="D146" s="77" t="s">
        <v>83</v>
      </c>
      <c r="E146" s="66"/>
      <c r="F146" s="67"/>
      <c r="G146" s="67">
        <f>G145</f>
        <v>0</v>
      </c>
      <c r="H146" s="67">
        <f>H145</f>
        <v>0</v>
      </c>
      <c r="J146" s="78">
        <f>E146*F146*G146*H146</f>
        <v>0</v>
      </c>
      <c r="L146" s="78">
        <f>IF($BD$15&lt;2,0, IF($BD$100="Yes", (E146*F146*G146*H146)*(1+$BD$10),(E146*F146*G146*H146)))</f>
        <v>0</v>
      </c>
      <c r="M146" s="44"/>
      <c r="N146" s="78">
        <f>IF($BD$15&lt;3,0, IF($BD$100="Yes", (E146*F146*G146*H146)*(1+$BD$10)^2,(E146*F146*G146*H146)))</f>
        <v>0</v>
      </c>
      <c r="O146" s="44"/>
      <c r="P146" s="78">
        <f>IF($BD$15&lt;4,0, IF($BD$100="Yes", (E146*F146*G146*H146)*(1+$BD$10)^3,(E146*F146*G146*H146)))</f>
        <v>0</v>
      </c>
      <c r="Q146" s="44"/>
      <c r="R146" s="78">
        <f>IF($BD$15&lt;5,0, IF($BD$100="Yes", (E146*F146*G146*H146)*(1+$BD$10)^4,(E146*F146*G146*H146)))</f>
        <v>0</v>
      </c>
      <c r="S146" s="44"/>
      <c r="T146" s="78">
        <f>IF($BD$15&lt;6,0, IF($BD$100="Yes", (E146*F146*G146*H146)*(1+$BD$10)^5,(E146*F146*G146*H146)))</f>
        <v>0</v>
      </c>
      <c r="V146" s="78">
        <f>IF($BD$15&lt;7,0, IF($BD$100="Yes", (E146*F146*G146*H146)*(1+$BD$10)^6,(E146*F146*G146*H146)))</f>
        <v>0</v>
      </c>
      <c r="W146" s="44"/>
      <c r="X146" s="78">
        <f>IF($BD$15&lt;8,0, IF($BD$100="Yes", (E146*F146*G146*H146)*(1+$BD$10)^7,(E146*F146*G146*H146)))</f>
        <v>0</v>
      </c>
      <c r="Y146" s="44"/>
      <c r="Z146" s="78">
        <f>IF($BD$15&lt;9,0, IF($BD$100="Yes", (E146*F146*G146*H146)*(1+$BD$10)^8,(E146*F146*G146*H146)))</f>
        <v>0</v>
      </c>
      <c r="AA146" s="44"/>
      <c r="AB146" s="78">
        <f>IF($BD$15&lt;10,0, IF($BD$100="Yes", (E146*F146*G146*H146)*(1+$BD$10)^9,(E146*F146*G146*H146)))</f>
        <v>0</v>
      </c>
      <c r="AC146" s="78"/>
      <c r="AD146" s="78">
        <f>J146+L146+N146+P146+R146+T146+V146+X146+Z146+AB146</f>
        <v>0</v>
      </c>
      <c r="AF146" s="327">
        <v>0</v>
      </c>
      <c r="AH146" s="327">
        <v>0</v>
      </c>
      <c r="AI146" s="44"/>
      <c r="AJ146" s="327">
        <v>0</v>
      </c>
      <c r="AK146" s="44"/>
      <c r="AL146" s="327">
        <v>0</v>
      </c>
      <c r="AM146" s="44"/>
      <c r="AN146" s="327">
        <v>0</v>
      </c>
      <c r="AO146" s="44"/>
      <c r="AP146" s="327">
        <v>0</v>
      </c>
      <c r="AR146" s="327">
        <v>0</v>
      </c>
      <c r="AS146" s="44"/>
      <c r="AT146" s="327">
        <v>0</v>
      </c>
      <c r="AU146" s="44"/>
      <c r="AV146" s="327">
        <v>0</v>
      </c>
      <c r="AW146" s="44"/>
      <c r="AX146" s="327">
        <v>0</v>
      </c>
      <c r="AY146" s="78"/>
      <c r="AZ146" s="327">
        <f>AF146+AH146+AJ146+AL146+AN146+AP146+AR146+AT146+AV146+AX146</f>
        <v>0</v>
      </c>
      <c r="BF146" s="59"/>
      <c r="BJ146" s="59"/>
      <c r="BN146" s="59"/>
      <c r="BR146" s="59"/>
      <c r="BV146" s="59"/>
      <c r="BZ146" s="59"/>
      <c r="CD146" s="59"/>
      <c r="CH146" s="59"/>
      <c r="CL146" s="59"/>
      <c r="CP146" s="59"/>
    </row>
    <row r="147" spans="1:94" outlineLevel="1" x14ac:dyDescent="0.25">
      <c r="A147" s="36" t="s">
        <v>241</v>
      </c>
      <c r="B147" s="10"/>
      <c r="C147" s="13"/>
      <c r="D147" s="77" t="s">
        <v>263</v>
      </c>
      <c r="E147" s="66"/>
      <c r="F147" s="67"/>
      <c r="G147" s="67">
        <f t="shared" ref="G147:H147" si="33">G146</f>
        <v>0</v>
      </c>
      <c r="H147" s="67">
        <f t="shared" si="33"/>
        <v>0</v>
      </c>
      <c r="J147" s="78">
        <f>E147*F147*G147*H147</f>
        <v>0</v>
      </c>
      <c r="L147" s="78">
        <f>IF($BD$15&lt;2,0, IF($BD$100="Yes", (E147*F147*G147*H147)*(1+$BD$10),(E147*F147*G147*H147)))</f>
        <v>0</v>
      </c>
      <c r="M147" s="44"/>
      <c r="N147" s="78">
        <f>IF($BD$15&lt;3,0, IF($BD$100="Yes", (E147*F147*G147*H147)*(1+$BD$10)^2,(E147*F147*G147*H147)))</f>
        <v>0</v>
      </c>
      <c r="O147" s="44"/>
      <c r="P147" s="78">
        <f>IF($BD$15&lt;4,0, IF($BD$100="Yes", (E147*F147*G147*H147)*(1+$BD$10)^3,(E147*F147*G147*H147)))</f>
        <v>0</v>
      </c>
      <c r="Q147" s="44"/>
      <c r="R147" s="78">
        <f>IF($BD$15&lt;5,0, IF($BD$100="Yes", (E147*F147*G147*H147)*(1+$BD$10)^4,(E147*F147*G147*H147)))</f>
        <v>0</v>
      </c>
      <c r="S147" s="44"/>
      <c r="T147" s="78">
        <f>IF($BD$15&lt;6,0, IF($BD$100="Yes", (E147*F147*G147*H147)*(1+$BD$10)^5,(E147*F147*G147*H147)))</f>
        <v>0</v>
      </c>
      <c r="V147" s="78">
        <f>IF($BD$15&lt;7,0, IF($BD$100="Yes", (E147*F147*G147*H147)*(1+$BD$10)^6,(E147*F147*G147*H147)))</f>
        <v>0</v>
      </c>
      <c r="W147" s="44"/>
      <c r="X147" s="78">
        <f>IF($BD$15&lt;8,0, IF($BD$100="Yes", (E147*F147*G147*H147)*(1+$BD$10)^7,(E147*F147*G147*H147)))</f>
        <v>0</v>
      </c>
      <c r="Y147" s="44"/>
      <c r="Z147" s="78">
        <f>IF($BD$15&lt;9,0, IF($BD$100="Yes", (E147*F147*G147*H147)*(1+$BD$10)^8,(E147*F147*G147*H147)))</f>
        <v>0</v>
      </c>
      <c r="AA147" s="44"/>
      <c r="AB147" s="78">
        <f>IF($BD$15&lt;10,0, IF($BD$100="Yes", (E147*F147*G147*H147)*(1+$BD$10)^9,(E147*F147*G147*H147)))</f>
        <v>0</v>
      </c>
      <c r="AC147" s="78"/>
      <c r="AD147" s="78">
        <f>J147+L147+N147+P147+R147+T147+V147+X147+Z147+AB147</f>
        <v>0</v>
      </c>
      <c r="AE147" s="78"/>
      <c r="AF147" s="327">
        <v>0</v>
      </c>
      <c r="AH147" s="327">
        <v>0</v>
      </c>
      <c r="AI147" s="44"/>
      <c r="AJ147" s="327">
        <v>0</v>
      </c>
      <c r="AK147" s="44"/>
      <c r="AL147" s="327">
        <v>0</v>
      </c>
      <c r="AM147" s="44"/>
      <c r="AN147" s="327">
        <v>0</v>
      </c>
      <c r="AO147" s="44"/>
      <c r="AP147" s="327">
        <v>0</v>
      </c>
      <c r="AR147" s="327">
        <v>0</v>
      </c>
      <c r="AS147" s="44"/>
      <c r="AT147" s="327">
        <v>0</v>
      </c>
      <c r="AU147" s="44"/>
      <c r="AV147" s="327">
        <v>0</v>
      </c>
      <c r="AW147" s="44"/>
      <c r="AX147" s="327">
        <v>0</v>
      </c>
      <c r="AY147" s="78"/>
      <c r="AZ147" s="327">
        <f>AF147+AH147+AJ147+AL147+AN147+AP147+AR147+AT147+AV147+AX147</f>
        <v>0</v>
      </c>
      <c r="BA147" s="44"/>
      <c r="BF147" s="59"/>
      <c r="BJ147" s="59"/>
      <c r="BN147" s="59"/>
      <c r="BR147" s="59"/>
      <c r="BV147" s="59"/>
      <c r="BZ147" s="59"/>
      <c r="CD147" s="59"/>
      <c r="CH147" s="59"/>
      <c r="CL147" s="59"/>
      <c r="CP147" s="59"/>
    </row>
    <row r="148" spans="1:94" outlineLevel="1" x14ac:dyDescent="0.25">
      <c r="A148" s="36" t="s">
        <v>241</v>
      </c>
      <c r="B148" s="10"/>
      <c r="C148" s="13"/>
      <c r="D148" s="77" t="s">
        <v>84</v>
      </c>
      <c r="E148" s="66">
        <v>40</v>
      </c>
      <c r="F148" s="67"/>
      <c r="G148" s="67">
        <f>G147</f>
        <v>0</v>
      </c>
      <c r="H148" s="67">
        <f>H147</f>
        <v>0</v>
      </c>
      <c r="J148" s="78">
        <f>E148*F148*G148*H148</f>
        <v>0</v>
      </c>
      <c r="L148" s="78">
        <f>IF($BD$15&lt;2,0, IF($BD$100="Yes", (E148*F148*G148*H148)*(1+$BD$10),(E148*F148*G148*H148)))</f>
        <v>0</v>
      </c>
      <c r="M148" s="78"/>
      <c r="N148" s="78">
        <f>IF($BD$15&lt;3,0, IF($BD$100="Yes", (E148*F148*G148*H148)*(1+$BD$10)^2,(E148*F148*G148*H148)))</f>
        <v>0</v>
      </c>
      <c r="O148" s="78"/>
      <c r="P148" s="78">
        <f>IF($BD$15&lt;4,0, IF($BD$100="Yes", (E148*F148*G148*H148)*(1+$BD$10)^3,(E148*F148*G148*H148)))</f>
        <v>0</v>
      </c>
      <c r="Q148" s="78"/>
      <c r="R148" s="78">
        <f>IF($BD$15&lt;5,0, IF($BD$100="Yes", (E148*F148*G148*H148)*(1+$BD$10)^4,(E148*F148*G148*H148)))</f>
        <v>0</v>
      </c>
      <c r="S148" s="78"/>
      <c r="T148" s="78">
        <f>IF($BD$15&lt;6,0, IF($BD$100="Yes", (E148*F148*G148*H148)*(1+$BD$10)^5,(E148*F148*G148*H148)))</f>
        <v>0</v>
      </c>
      <c r="V148" s="78">
        <f>IF($BD$15&lt;7,0, IF($BD$100="Yes", (E148*F148*G148*H148)*(1+$BD$10)^6,(E148*F148*G148*H148)))</f>
        <v>0</v>
      </c>
      <c r="W148" s="78"/>
      <c r="X148" s="78">
        <f>IF($BD$15&lt;8,0, IF($BD$100="Yes", (E148*F148*G148*H148)*(1+$BD$10)^7,(E148*F148*G148*H148)))</f>
        <v>0</v>
      </c>
      <c r="Y148" s="78"/>
      <c r="Z148" s="78">
        <f>IF($BD$15&lt;9,0, IF($BD$100="Yes", (E148*F148*G148*H148)*(1+$BD$10)^8,(E148*F148*G148*H148)))</f>
        <v>0</v>
      </c>
      <c r="AA148" s="78"/>
      <c r="AB148" s="78">
        <f>IF($BD$15&lt;10,0, IF($BD$100="Yes", (E148*F148*G148*H148)*(1+$BD$10)^9,(E148*F148*G148*H148)))</f>
        <v>0</v>
      </c>
      <c r="AC148" s="78"/>
      <c r="AD148" s="78">
        <f>J148+L148+N148+P148+R148+T148+V148+X148+Z148+AB148</f>
        <v>0</v>
      </c>
      <c r="AE148" s="78"/>
      <c r="AF148" s="327">
        <v>0</v>
      </c>
      <c r="AH148" s="327">
        <v>0</v>
      </c>
      <c r="AI148" s="78"/>
      <c r="AJ148" s="327">
        <v>0</v>
      </c>
      <c r="AK148" s="78"/>
      <c r="AL148" s="327">
        <v>0</v>
      </c>
      <c r="AM148" s="78"/>
      <c r="AN148" s="327">
        <v>0</v>
      </c>
      <c r="AO148" s="78"/>
      <c r="AP148" s="327">
        <v>0</v>
      </c>
      <c r="AR148" s="327">
        <v>0</v>
      </c>
      <c r="AS148" s="78"/>
      <c r="AT148" s="327">
        <v>0</v>
      </c>
      <c r="AU148" s="78"/>
      <c r="AV148" s="327">
        <v>0</v>
      </c>
      <c r="AW148" s="78"/>
      <c r="AX148" s="327">
        <v>0</v>
      </c>
      <c r="AY148" s="78"/>
      <c r="AZ148" s="327">
        <f>AF148+AH148+AJ148+AL148+AN148+AP148+AR148+AT148+AV148+AX148</f>
        <v>0</v>
      </c>
      <c r="BF148" s="59"/>
      <c r="BJ148" s="59"/>
      <c r="BN148" s="59"/>
      <c r="BR148" s="59"/>
      <c r="BV148" s="59"/>
      <c r="BZ148" s="59"/>
      <c r="CD148" s="59"/>
      <c r="CH148" s="59"/>
      <c r="CL148" s="59"/>
      <c r="CP148" s="59"/>
    </row>
    <row r="149" spans="1:94" x14ac:dyDescent="0.25">
      <c r="A149" s="36"/>
      <c r="B149" s="10"/>
      <c r="E149" s="63"/>
      <c r="G149" s="62"/>
      <c r="H149" s="64" t="s">
        <v>47</v>
      </c>
      <c r="J149" s="65">
        <f>SUM(J132:J148)</f>
        <v>0</v>
      </c>
      <c r="K149" s="65"/>
      <c r="L149" s="65">
        <f>SUM(L132:L148)</f>
        <v>0</v>
      </c>
      <c r="M149" s="76"/>
      <c r="N149" s="65">
        <f>SUM(N132:N148)</f>
        <v>0</v>
      </c>
      <c r="O149" s="76"/>
      <c r="P149" s="65">
        <f>SUM(P132:P148)</f>
        <v>0</v>
      </c>
      <c r="Q149" s="76"/>
      <c r="R149" s="65">
        <f>SUM(R132:R148)</f>
        <v>0</v>
      </c>
      <c r="S149" s="76"/>
      <c r="T149" s="65">
        <f>SUM(T132:T148)</f>
        <v>0</v>
      </c>
      <c r="U149" s="65"/>
      <c r="V149" s="65">
        <f>SUM(V132:V148)</f>
        <v>0</v>
      </c>
      <c r="W149" s="76"/>
      <c r="X149" s="65">
        <f>SUM(X132:X148)</f>
        <v>0</v>
      </c>
      <c r="Y149" s="76"/>
      <c r="Z149" s="65">
        <f>SUM(Z132:Z148)</f>
        <v>0</v>
      </c>
      <c r="AA149" s="76"/>
      <c r="AB149" s="65">
        <f>SUM(AB132:AB148)</f>
        <v>0</v>
      </c>
      <c r="AC149" s="65"/>
      <c r="AD149" s="321">
        <f>J149+L149+N149+P149+R149+T149+V149+X149+Z149+AB149</f>
        <v>0</v>
      </c>
      <c r="AE149" s="78"/>
      <c r="AF149" s="332">
        <f>SUM(AF132:AF148)</f>
        <v>0</v>
      </c>
      <c r="AG149" s="65"/>
      <c r="AH149" s="332">
        <f>SUM(AH132:AH148)</f>
        <v>0</v>
      </c>
      <c r="AI149" s="76"/>
      <c r="AJ149" s="332">
        <f>SUM(AJ132:AJ148)</f>
        <v>0</v>
      </c>
      <c r="AK149" s="76"/>
      <c r="AL149" s="332">
        <f>SUM(AL132:AL148)</f>
        <v>0</v>
      </c>
      <c r="AM149" s="76"/>
      <c r="AN149" s="332">
        <f>SUM(AN132:AN148)</f>
        <v>0</v>
      </c>
      <c r="AO149" s="76"/>
      <c r="AP149" s="332">
        <f>SUM(AP132:AP148)</f>
        <v>0</v>
      </c>
      <c r="AQ149" s="65"/>
      <c r="AR149" s="332">
        <f>SUM(AR132:AR148)</f>
        <v>0</v>
      </c>
      <c r="AS149" s="76"/>
      <c r="AT149" s="332">
        <f>SUM(AT132:AT148)</f>
        <v>0</v>
      </c>
      <c r="AU149" s="76"/>
      <c r="AV149" s="332">
        <f>SUM(AV132:AV148)</f>
        <v>0</v>
      </c>
      <c r="AW149" s="76"/>
      <c r="AX149" s="332">
        <f>SUM(AX132:AX148)</f>
        <v>0</v>
      </c>
      <c r="AY149" s="65"/>
      <c r="AZ149" s="343">
        <f>AF149+AH149+AJ149+AL149+AN149+AP149+AR149+AT149+AV149+AX149</f>
        <v>0</v>
      </c>
      <c r="BF149" s="59"/>
      <c r="BJ149" s="59"/>
      <c r="BN149" s="59"/>
      <c r="BR149" s="59"/>
      <c r="BV149" s="59"/>
      <c r="BZ149" s="59"/>
      <c r="CD149" s="59"/>
      <c r="CH149" s="59"/>
      <c r="CL149" s="59"/>
      <c r="CP149" s="59"/>
    </row>
    <row r="150" spans="1:94" ht="9" customHeight="1" x14ac:dyDescent="0.25">
      <c r="B150" s="10"/>
      <c r="J150" s="14"/>
      <c r="L150" s="14"/>
      <c r="M150" s="44"/>
      <c r="N150" s="14"/>
      <c r="O150" s="44"/>
      <c r="P150" s="14"/>
      <c r="Q150" s="44"/>
      <c r="R150" s="14"/>
      <c r="S150" s="44"/>
      <c r="T150" s="14"/>
      <c r="V150" s="14"/>
      <c r="W150" s="44"/>
      <c r="X150" s="14"/>
      <c r="Y150" s="44"/>
      <c r="Z150" s="14"/>
      <c r="AA150" s="44"/>
      <c r="AB150" s="14"/>
      <c r="AC150" s="78"/>
      <c r="AD150" s="64"/>
      <c r="AF150" s="330"/>
      <c r="AH150" s="330"/>
      <c r="AI150" s="44"/>
      <c r="AJ150" s="330"/>
      <c r="AK150" s="44"/>
      <c r="AL150" s="330"/>
      <c r="AM150" s="44"/>
      <c r="AN150" s="330"/>
      <c r="AO150" s="44"/>
      <c r="AP150" s="330"/>
      <c r="AR150" s="330"/>
      <c r="AS150" s="44"/>
      <c r="AT150" s="330"/>
      <c r="AU150" s="44"/>
      <c r="AV150" s="330"/>
      <c r="AW150" s="44"/>
      <c r="AX150" s="330"/>
      <c r="AY150" s="78"/>
      <c r="AZ150" s="331"/>
      <c r="BF150" s="59"/>
      <c r="BJ150" s="59"/>
      <c r="BN150" s="59"/>
      <c r="BR150" s="59"/>
      <c r="BV150" s="59"/>
      <c r="BZ150" s="59"/>
      <c r="CD150" s="59"/>
      <c r="CH150" s="59"/>
      <c r="CL150" s="59"/>
      <c r="CP150" s="59"/>
    </row>
    <row r="151" spans="1:94" x14ac:dyDescent="0.25">
      <c r="B151" s="10"/>
      <c r="C151" s="77" t="s">
        <v>21</v>
      </c>
      <c r="J151" s="78">
        <f>+J149+J129</f>
        <v>0</v>
      </c>
      <c r="L151" s="78">
        <f>L149+L129</f>
        <v>0</v>
      </c>
      <c r="M151" s="44"/>
      <c r="N151" s="78">
        <f>N149+N129</f>
        <v>0</v>
      </c>
      <c r="O151" s="44"/>
      <c r="P151" s="78">
        <f>P149+P129</f>
        <v>0</v>
      </c>
      <c r="Q151" s="44"/>
      <c r="R151" s="78">
        <f>R149+R129</f>
        <v>0</v>
      </c>
      <c r="S151" s="44"/>
      <c r="T151" s="78">
        <f>+T149+T129</f>
        <v>0</v>
      </c>
      <c r="V151" s="78">
        <f>V149+V129</f>
        <v>0</v>
      </c>
      <c r="W151" s="44"/>
      <c r="X151" s="78">
        <f>X149+X129</f>
        <v>0</v>
      </c>
      <c r="Y151" s="44"/>
      <c r="Z151" s="78">
        <f>Z149+Z129</f>
        <v>0</v>
      </c>
      <c r="AA151" s="44"/>
      <c r="AB151" s="78">
        <f>AB149+AB129</f>
        <v>0</v>
      </c>
      <c r="AC151" s="78"/>
      <c r="AD151" s="78">
        <f>J151+L151+N151+P151+R151+T151+V151+X151+Z151+AB151</f>
        <v>0</v>
      </c>
      <c r="AE151" s="78"/>
      <c r="AF151" s="327">
        <f>+AF149+AF129</f>
        <v>0</v>
      </c>
      <c r="AH151" s="327">
        <f>AH149+AH129</f>
        <v>0</v>
      </c>
      <c r="AI151" s="44"/>
      <c r="AJ151" s="327">
        <f>AJ149+AJ129</f>
        <v>0</v>
      </c>
      <c r="AK151" s="44"/>
      <c r="AL151" s="327">
        <f>AL149+AL129</f>
        <v>0</v>
      </c>
      <c r="AM151" s="44"/>
      <c r="AN151" s="327">
        <f>AN149+AN129</f>
        <v>0</v>
      </c>
      <c r="AO151" s="44"/>
      <c r="AP151" s="327">
        <f>+AP149+AP129</f>
        <v>0</v>
      </c>
      <c r="AR151" s="327">
        <f>AR149+AR129</f>
        <v>0</v>
      </c>
      <c r="AS151" s="44"/>
      <c r="AT151" s="327">
        <f>AT149+AT129</f>
        <v>0</v>
      </c>
      <c r="AU151" s="44"/>
      <c r="AV151" s="327">
        <f>AV149+AV129</f>
        <v>0</v>
      </c>
      <c r="AW151" s="44"/>
      <c r="AX151" s="327">
        <f>AX149+AX129</f>
        <v>0</v>
      </c>
      <c r="AY151" s="78"/>
      <c r="AZ151" s="327">
        <f>AF151+AH151+AJ151+AL151+AN151+AP151+AR151+AT151+AV151+AX151</f>
        <v>0</v>
      </c>
      <c r="BF151" s="59"/>
      <c r="BJ151" s="59"/>
      <c r="BN151" s="59"/>
      <c r="BR151" s="59"/>
      <c r="BV151" s="59"/>
      <c r="BZ151" s="59"/>
      <c r="CD151" s="59"/>
      <c r="CH151" s="59"/>
      <c r="CL151" s="59"/>
      <c r="CP151" s="59"/>
    </row>
    <row r="152" spans="1:94" x14ac:dyDescent="0.25">
      <c r="M152" s="44"/>
      <c r="N152" s="78"/>
      <c r="O152" s="44"/>
      <c r="P152" s="44"/>
      <c r="Q152" s="44"/>
      <c r="R152" s="44"/>
      <c r="S152" s="44"/>
      <c r="W152" s="44"/>
      <c r="X152" s="78"/>
      <c r="Y152" s="44"/>
      <c r="Z152" s="44"/>
      <c r="AA152" s="44"/>
      <c r="AB152" s="44"/>
      <c r="AC152" s="44"/>
      <c r="AD152" s="78"/>
      <c r="AI152" s="44"/>
      <c r="AJ152" s="327"/>
      <c r="AK152" s="44"/>
      <c r="AL152" s="89"/>
      <c r="AM152" s="44"/>
      <c r="AN152" s="89"/>
      <c r="AO152" s="44"/>
      <c r="AS152" s="44"/>
      <c r="AT152" s="327"/>
      <c r="AU152" s="44"/>
      <c r="AV152" s="89"/>
      <c r="AW152" s="44"/>
      <c r="AX152" s="89"/>
      <c r="AY152" s="44"/>
      <c r="AZ152" s="327"/>
      <c r="BF152" s="59"/>
      <c r="BJ152" s="59"/>
      <c r="BN152" s="59"/>
      <c r="BR152" s="59"/>
      <c r="BV152" s="59"/>
      <c r="BZ152" s="59"/>
      <c r="CD152" s="59"/>
      <c r="CH152" s="59"/>
      <c r="CL152" s="59"/>
      <c r="CP152" s="59"/>
    </row>
    <row r="153" spans="1:94" x14ac:dyDescent="0.25">
      <c r="B153" s="10" t="s">
        <v>9</v>
      </c>
      <c r="C153" s="10" t="s">
        <v>30</v>
      </c>
      <c r="M153" s="44"/>
      <c r="N153" s="44"/>
      <c r="O153" s="44"/>
      <c r="P153" s="44"/>
      <c r="Q153" s="44"/>
      <c r="R153" s="44"/>
      <c r="S153" s="44"/>
      <c r="W153" s="44"/>
      <c r="X153" s="44"/>
      <c r="Y153" s="44"/>
      <c r="Z153" s="44"/>
      <c r="AA153" s="44"/>
      <c r="AB153" s="44"/>
      <c r="AC153" s="44"/>
      <c r="AD153" s="78"/>
      <c r="AI153" s="44"/>
      <c r="AJ153" s="89"/>
      <c r="AK153" s="44"/>
      <c r="AL153" s="89"/>
      <c r="AM153" s="44"/>
      <c r="AN153" s="89"/>
      <c r="AO153" s="44"/>
      <c r="AS153" s="44"/>
      <c r="AT153" s="89"/>
      <c r="AU153" s="44"/>
      <c r="AV153" s="89"/>
      <c r="AW153" s="44"/>
      <c r="AX153" s="89"/>
      <c r="AY153" s="44"/>
      <c r="AZ153" s="327"/>
      <c r="BF153" s="59"/>
      <c r="BJ153" s="59"/>
      <c r="BN153" s="59"/>
      <c r="BR153" s="59"/>
      <c r="BV153" s="59"/>
      <c r="BZ153" s="59"/>
      <c r="CD153" s="59"/>
      <c r="CH153" s="59"/>
      <c r="CL153" s="59"/>
      <c r="CP153" s="59"/>
    </row>
    <row r="154" spans="1:94" outlineLevel="1" x14ac:dyDescent="0.25">
      <c r="B154" s="10"/>
      <c r="C154" s="12"/>
      <c r="E154" s="66" t="s">
        <v>72</v>
      </c>
      <c r="F154" s="62" t="s">
        <v>75</v>
      </c>
      <c r="G154" s="62"/>
      <c r="M154" s="44"/>
      <c r="N154" s="44"/>
      <c r="O154" s="44"/>
      <c r="P154" s="44"/>
      <c r="Q154" s="44"/>
      <c r="R154" s="44"/>
      <c r="S154" s="44"/>
      <c r="W154" s="44"/>
      <c r="X154" s="44"/>
      <c r="Y154" s="44"/>
      <c r="Z154" s="44"/>
      <c r="AA154" s="44"/>
      <c r="AB154" s="44"/>
      <c r="AC154" s="44"/>
      <c r="AD154" s="78"/>
      <c r="AI154" s="44"/>
      <c r="AJ154" s="89"/>
      <c r="AK154" s="44"/>
      <c r="AL154" s="89"/>
      <c r="AM154" s="44"/>
      <c r="AN154" s="89"/>
      <c r="AO154" s="44"/>
      <c r="AS154" s="44"/>
      <c r="AT154" s="89"/>
      <c r="AU154" s="44"/>
      <c r="AV154" s="89"/>
      <c r="AW154" s="44"/>
      <c r="AX154" s="89"/>
      <c r="AY154" s="44"/>
      <c r="AZ154" s="327"/>
      <c r="BF154" s="59"/>
      <c r="BJ154" s="59"/>
      <c r="BN154" s="59"/>
      <c r="BR154" s="59"/>
      <c r="BV154" s="59"/>
      <c r="BZ154" s="59"/>
      <c r="CD154" s="59"/>
      <c r="CH154" s="59"/>
      <c r="CL154" s="59"/>
      <c r="CP154" s="59"/>
    </row>
    <row r="155" spans="1:94" outlineLevel="1" x14ac:dyDescent="0.25">
      <c r="A155" s="77" t="s">
        <v>30</v>
      </c>
      <c r="B155" s="10"/>
      <c r="C155" s="77" t="s">
        <v>35</v>
      </c>
      <c r="E155" s="66"/>
      <c r="F155" s="67"/>
      <c r="J155" s="78">
        <f>E155*F155</f>
        <v>0</v>
      </c>
      <c r="L155" s="78">
        <v>0</v>
      </c>
      <c r="M155" s="44"/>
      <c r="N155" s="78">
        <v>0</v>
      </c>
      <c r="O155" s="44"/>
      <c r="P155" s="78">
        <v>0</v>
      </c>
      <c r="Q155" s="44"/>
      <c r="R155" s="78">
        <v>0</v>
      </c>
      <c r="S155" s="78"/>
      <c r="T155" s="78">
        <v>0</v>
      </c>
      <c r="V155" s="78">
        <v>0</v>
      </c>
      <c r="W155" s="44"/>
      <c r="X155" s="78">
        <v>0</v>
      </c>
      <c r="Y155" s="44"/>
      <c r="Z155" s="78">
        <v>0</v>
      </c>
      <c r="AA155" s="44"/>
      <c r="AB155" s="78">
        <v>0</v>
      </c>
      <c r="AC155" s="78"/>
      <c r="AD155" s="78">
        <f>J155+L155+N155+P155+R155+T155+V155+X155+Z155+AB155</f>
        <v>0</v>
      </c>
      <c r="AE155" s="78"/>
      <c r="AF155" s="327">
        <f>AA155*AB155</f>
        <v>0</v>
      </c>
      <c r="AH155" s="327">
        <v>0</v>
      </c>
      <c r="AI155" s="44"/>
      <c r="AJ155" s="327">
        <v>0</v>
      </c>
      <c r="AK155" s="44"/>
      <c r="AL155" s="327">
        <v>0</v>
      </c>
      <c r="AM155" s="44"/>
      <c r="AN155" s="327">
        <v>0</v>
      </c>
      <c r="AO155" s="78"/>
      <c r="AP155" s="327">
        <v>0</v>
      </c>
      <c r="AR155" s="327">
        <v>0</v>
      </c>
      <c r="AS155" s="44"/>
      <c r="AT155" s="327">
        <v>0</v>
      </c>
      <c r="AU155" s="44"/>
      <c r="AV155" s="327">
        <v>0</v>
      </c>
      <c r="AW155" s="44"/>
      <c r="AX155" s="327">
        <v>0</v>
      </c>
      <c r="AY155" s="78"/>
      <c r="AZ155" s="327">
        <f>AF155+AH155+AJ155+AL155+AN155+AP155+AR155+AT155+AV155+AX155</f>
        <v>0</v>
      </c>
      <c r="BC155" s="72" t="s">
        <v>385</v>
      </c>
      <c r="BF155" s="59"/>
      <c r="BJ155" s="59"/>
      <c r="BN155" s="59"/>
      <c r="BR155" s="59"/>
      <c r="BV155" s="59"/>
      <c r="BZ155" s="59"/>
      <c r="CD155" s="59"/>
      <c r="CH155" s="59"/>
      <c r="CL155" s="59"/>
      <c r="CP155" s="59"/>
    </row>
    <row r="156" spans="1:94" outlineLevel="1" x14ac:dyDescent="0.25">
      <c r="A156" s="77" t="s">
        <v>30</v>
      </c>
      <c r="B156" s="10"/>
      <c r="C156" s="77" t="s">
        <v>10</v>
      </c>
      <c r="E156" s="66"/>
      <c r="F156" s="67"/>
      <c r="J156" s="78">
        <f>E156*F156</f>
        <v>0</v>
      </c>
      <c r="L156" s="78">
        <v>0</v>
      </c>
      <c r="M156" s="44"/>
      <c r="N156" s="78">
        <v>0</v>
      </c>
      <c r="O156" s="44"/>
      <c r="P156" s="78">
        <v>0</v>
      </c>
      <c r="Q156" s="44"/>
      <c r="R156" s="78">
        <v>0</v>
      </c>
      <c r="S156" s="78"/>
      <c r="T156" s="78">
        <v>0</v>
      </c>
      <c r="V156" s="78">
        <v>0</v>
      </c>
      <c r="W156" s="44"/>
      <c r="X156" s="78">
        <v>0</v>
      </c>
      <c r="Y156" s="44"/>
      <c r="Z156" s="78">
        <v>0</v>
      </c>
      <c r="AA156" s="44"/>
      <c r="AB156" s="78">
        <v>0</v>
      </c>
      <c r="AC156" s="78"/>
      <c r="AD156" s="78">
        <f>J156+L156+N156+P156+R156+T156+V156+X156+Z156+AB156</f>
        <v>0</v>
      </c>
      <c r="AE156" s="78"/>
      <c r="AF156" s="327">
        <f>AA156*AB156</f>
        <v>0</v>
      </c>
      <c r="AH156" s="327">
        <v>0</v>
      </c>
      <c r="AI156" s="44"/>
      <c r="AJ156" s="327">
        <v>0</v>
      </c>
      <c r="AK156" s="44"/>
      <c r="AL156" s="327">
        <v>0</v>
      </c>
      <c r="AM156" s="44"/>
      <c r="AN156" s="327">
        <v>0</v>
      </c>
      <c r="AO156" s="78"/>
      <c r="AP156" s="327">
        <v>0</v>
      </c>
      <c r="AR156" s="327">
        <v>0</v>
      </c>
      <c r="AS156" s="44"/>
      <c r="AT156" s="327">
        <v>0</v>
      </c>
      <c r="AU156" s="44"/>
      <c r="AV156" s="327">
        <v>0</v>
      </c>
      <c r="AW156" s="44"/>
      <c r="AX156" s="327">
        <v>0</v>
      </c>
      <c r="AY156" s="78"/>
      <c r="AZ156" s="327">
        <f>AF156+AH156+AJ156+AL156+AN156+AP156+AR156+AT156+AV156+AX156</f>
        <v>0</v>
      </c>
      <c r="BC156" s="72" t="s">
        <v>384</v>
      </c>
      <c r="BF156" s="59"/>
      <c r="BJ156" s="59"/>
      <c r="BN156" s="59"/>
      <c r="BR156" s="59"/>
      <c r="BV156" s="59"/>
      <c r="BZ156" s="59"/>
      <c r="CD156" s="59"/>
      <c r="CH156" s="59"/>
      <c r="CL156" s="59"/>
      <c r="CP156" s="59"/>
    </row>
    <row r="157" spans="1:94" outlineLevel="1" x14ac:dyDescent="0.25">
      <c r="A157" s="77" t="s">
        <v>30</v>
      </c>
      <c r="B157" s="10"/>
      <c r="C157" s="13" t="s">
        <v>36</v>
      </c>
      <c r="E157" s="66"/>
      <c r="F157" s="67"/>
      <c r="J157" s="78">
        <f>E157*F157</f>
        <v>0</v>
      </c>
      <c r="L157" s="78">
        <v>0</v>
      </c>
      <c r="M157" s="44"/>
      <c r="N157" s="78">
        <v>0</v>
      </c>
      <c r="O157" s="44"/>
      <c r="P157" s="78">
        <v>0</v>
      </c>
      <c r="Q157" s="44"/>
      <c r="R157" s="78">
        <v>0</v>
      </c>
      <c r="S157" s="78"/>
      <c r="T157" s="78">
        <v>0</v>
      </c>
      <c r="V157" s="78">
        <v>0</v>
      </c>
      <c r="W157" s="44"/>
      <c r="X157" s="78">
        <v>0</v>
      </c>
      <c r="Y157" s="44"/>
      <c r="Z157" s="78">
        <v>0</v>
      </c>
      <c r="AA157" s="44"/>
      <c r="AB157" s="78">
        <v>0</v>
      </c>
      <c r="AC157" s="78"/>
      <c r="AD157" s="78">
        <f>J157+L157+N157+P157+R157+T157+V157+X157+Z157+AB157</f>
        <v>0</v>
      </c>
      <c r="AE157" s="78"/>
      <c r="AF157" s="327">
        <f>AA157*AB157</f>
        <v>0</v>
      </c>
      <c r="AH157" s="327">
        <v>0</v>
      </c>
      <c r="AI157" s="44"/>
      <c r="AJ157" s="327">
        <v>0</v>
      </c>
      <c r="AK157" s="44"/>
      <c r="AL157" s="327">
        <v>0</v>
      </c>
      <c r="AM157" s="44"/>
      <c r="AN157" s="327">
        <v>0</v>
      </c>
      <c r="AO157" s="78"/>
      <c r="AP157" s="327">
        <v>0</v>
      </c>
      <c r="AR157" s="327">
        <v>0</v>
      </c>
      <c r="AS157" s="44"/>
      <c r="AT157" s="327">
        <v>0</v>
      </c>
      <c r="AU157" s="44"/>
      <c r="AV157" s="327">
        <v>0</v>
      </c>
      <c r="AW157" s="44"/>
      <c r="AX157" s="327">
        <v>0</v>
      </c>
      <c r="AY157" s="78"/>
      <c r="AZ157" s="327">
        <f>AF157+AH157+AJ157+AL157+AN157+AP157+AR157+AT157+AV157+AX157</f>
        <v>0</v>
      </c>
      <c r="BC157" s="72" t="s">
        <v>398</v>
      </c>
      <c r="BF157" s="59"/>
      <c r="BJ157" s="59"/>
      <c r="BN157" s="59"/>
      <c r="BR157" s="59"/>
      <c r="BV157" s="59"/>
      <c r="BZ157" s="59"/>
      <c r="CD157" s="59"/>
      <c r="CH157" s="59"/>
      <c r="CL157" s="59"/>
      <c r="CP157" s="59"/>
    </row>
    <row r="158" spans="1:94" outlineLevel="1" x14ac:dyDescent="0.25">
      <c r="A158" s="77" t="s">
        <v>30</v>
      </c>
      <c r="B158" s="10"/>
      <c r="C158" s="13" t="s">
        <v>37</v>
      </c>
      <c r="E158" s="66"/>
      <c r="F158" s="67"/>
      <c r="J158" s="78">
        <f>E158*F158</f>
        <v>0</v>
      </c>
      <c r="L158" s="78">
        <v>0</v>
      </c>
      <c r="M158" s="44"/>
      <c r="N158" s="78">
        <v>0</v>
      </c>
      <c r="O158" s="44"/>
      <c r="P158" s="78">
        <v>0</v>
      </c>
      <c r="Q158" s="44"/>
      <c r="R158" s="78">
        <v>0</v>
      </c>
      <c r="S158" s="78"/>
      <c r="T158" s="78">
        <v>0</v>
      </c>
      <c r="V158" s="78">
        <v>0</v>
      </c>
      <c r="W158" s="44"/>
      <c r="X158" s="78">
        <v>0</v>
      </c>
      <c r="Y158" s="44"/>
      <c r="Z158" s="78">
        <v>0</v>
      </c>
      <c r="AA158" s="44"/>
      <c r="AB158" s="78">
        <v>0</v>
      </c>
      <c r="AC158" s="78"/>
      <c r="AD158" s="78">
        <f>J158+L158+N158+P158+R158+T158+V158+X158+Z158+AB158</f>
        <v>0</v>
      </c>
      <c r="AE158" s="78"/>
      <c r="AF158" s="327">
        <f>AA158*AB158</f>
        <v>0</v>
      </c>
      <c r="AH158" s="327">
        <v>0</v>
      </c>
      <c r="AI158" s="44"/>
      <c r="AJ158" s="327">
        <v>0</v>
      </c>
      <c r="AK158" s="44"/>
      <c r="AL158" s="327">
        <v>0</v>
      </c>
      <c r="AM158" s="44"/>
      <c r="AN158" s="327">
        <v>0</v>
      </c>
      <c r="AO158" s="78"/>
      <c r="AP158" s="327">
        <v>0</v>
      </c>
      <c r="AR158" s="327">
        <v>0</v>
      </c>
      <c r="AS158" s="44"/>
      <c r="AT158" s="327">
        <v>0</v>
      </c>
      <c r="AU158" s="44"/>
      <c r="AV158" s="327">
        <v>0</v>
      </c>
      <c r="AW158" s="44"/>
      <c r="AX158" s="327">
        <v>0</v>
      </c>
      <c r="AY158" s="78"/>
      <c r="AZ158" s="327">
        <f>AF158+AH158+AJ158+AL158+AN158+AP158+AR158+AT158+AV158+AX158</f>
        <v>0</v>
      </c>
      <c r="BC158" s="72" t="s">
        <v>397</v>
      </c>
      <c r="BF158" s="59"/>
      <c r="BJ158" s="59"/>
      <c r="BN158" s="59"/>
      <c r="BR158" s="59"/>
      <c r="BV158" s="59"/>
      <c r="BZ158" s="59"/>
      <c r="CD158" s="59"/>
      <c r="CH158" s="59"/>
      <c r="CL158" s="59"/>
      <c r="CP158" s="59"/>
    </row>
    <row r="159" spans="1:94" outlineLevel="1" x14ac:dyDescent="0.25">
      <c r="B159" s="10"/>
      <c r="C159" s="13"/>
      <c r="E159" s="66"/>
      <c r="F159" s="67"/>
      <c r="M159" s="44"/>
      <c r="N159" s="78"/>
      <c r="O159" s="44"/>
      <c r="P159" s="78"/>
      <c r="Q159" s="44"/>
      <c r="R159" s="78"/>
      <c r="S159" s="44"/>
      <c r="W159" s="44"/>
      <c r="X159" s="78"/>
      <c r="Y159" s="44"/>
      <c r="Z159" s="78"/>
      <c r="AA159" s="44"/>
      <c r="AB159" s="78"/>
      <c r="AC159" s="78"/>
      <c r="AD159" s="78"/>
      <c r="AE159" s="78"/>
      <c r="AI159" s="44"/>
      <c r="AJ159" s="327"/>
      <c r="AK159" s="44"/>
      <c r="AL159" s="327"/>
      <c r="AM159" s="44"/>
      <c r="AN159" s="327"/>
      <c r="AO159" s="44"/>
      <c r="AS159" s="44"/>
      <c r="AT159" s="327"/>
      <c r="AU159" s="44"/>
      <c r="AV159" s="327"/>
      <c r="AW159" s="44"/>
      <c r="AX159" s="327"/>
      <c r="AY159" s="78"/>
      <c r="AZ159" s="327"/>
      <c r="BF159" s="59"/>
      <c r="BJ159" s="59"/>
      <c r="BN159" s="59"/>
      <c r="BR159" s="59"/>
      <c r="BV159" s="59"/>
      <c r="BZ159" s="59"/>
      <c r="CD159" s="59"/>
      <c r="CH159" s="59"/>
      <c r="CL159" s="59"/>
      <c r="CP159" s="59"/>
    </row>
    <row r="160" spans="1:94" outlineLevel="1" x14ac:dyDescent="0.25">
      <c r="A160" s="77" t="s">
        <v>30</v>
      </c>
      <c r="B160" s="10"/>
      <c r="C160" s="77" t="s">
        <v>35</v>
      </c>
      <c r="E160" s="66"/>
      <c r="F160" s="67"/>
      <c r="J160" s="78">
        <f>E160*F160</f>
        <v>0</v>
      </c>
      <c r="L160" s="78">
        <v>0</v>
      </c>
      <c r="M160" s="44"/>
      <c r="N160" s="78">
        <v>0</v>
      </c>
      <c r="O160" s="44"/>
      <c r="P160" s="78">
        <v>0</v>
      </c>
      <c r="Q160" s="44"/>
      <c r="R160" s="78">
        <v>0</v>
      </c>
      <c r="S160" s="78"/>
      <c r="T160" s="78">
        <v>0</v>
      </c>
      <c r="V160" s="78">
        <v>0</v>
      </c>
      <c r="W160" s="44"/>
      <c r="X160" s="78">
        <v>0</v>
      </c>
      <c r="Y160" s="44"/>
      <c r="Z160" s="78">
        <v>0</v>
      </c>
      <c r="AA160" s="44"/>
      <c r="AB160" s="78">
        <v>0</v>
      </c>
      <c r="AC160" s="78"/>
      <c r="AD160" s="78">
        <f>J160+L160+N160+P160+R160+T160+V160+X160+Z160+AB160</f>
        <v>0</v>
      </c>
      <c r="AE160" s="78"/>
      <c r="AF160" s="327">
        <f>AA160*AB160</f>
        <v>0</v>
      </c>
      <c r="AH160" s="327">
        <v>0</v>
      </c>
      <c r="AI160" s="44"/>
      <c r="AJ160" s="327">
        <v>0</v>
      </c>
      <c r="AK160" s="44"/>
      <c r="AL160" s="327">
        <v>0</v>
      </c>
      <c r="AM160" s="44"/>
      <c r="AN160" s="327">
        <v>0</v>
      </c>
      <c r="AO160" s="78"/>
      <c r="AP160" s="327">
        <v>0</v>
      </c>
      <c r="AR160" s="327">
        <v>0</v>
      </c>
      <c r="AS160" s="44"/>
      <c r="AT160" s="327">
        <v>0</v>
      </c>
      <c r="AU160" s="44"/>
      <c r="AV160" s="327">
        <v>0</v>
      </c>
      <c r="AW160" s="44"/>
      <c r="AX160" s="327">
        <v>0</v>
      </c>
      <c r="AY160" s="78"/>
      <c r="AZ160" s="327">
        <f>AF160+AH160+AJ160+AL160+AN160+AP160+AR160+AT160+AV160+AX160</f>
        <v>0</v>
      </c>
      <c r="BF160" s="59"/>
      <c r="BJ160" s="59"/>
      <c r="BN160" s="59"/>
      <c r="BR160" s="59"/>
      <c r="BV160" s="59"/>
      <c r="BZ160" s="59"/>
      <c r="CD160" s="59"/>
      <c r="CH160" s="59"/>
      <c r="CL160" s="59"/>
      <c r="CP160" s="59"/>
    </row>
    <row r="161" spans="1:94" outlineLevel="1" x14ac:dyDescent="0.25">
      <c r="A161" s="77" t="s">
        <v>30</v>
      </c>
      <c r="B161" s="10"/>
      <c r="C161" s="77" t="s">
        <v>10</v>
      </c>
      <c r="E161" s="66"/>
      <c r="F161" s="67"/>
      <c r="J161" s="78">
        <f>E161*F161</f>
        <v>0</v>
      </c>
      <c r="L161" s="78">
        <v>0</v>
      </c>
      <c r="M161" s="44"/>
      <c r="N161" s="78">
        <v>0</v>
      </c>
      <c r="O161" s="44"/>
      <c r="P161" s="78">
        <v>0</v>
      </c>
      <c r="Q161" s="44"/>
      <c r="R161" s="78">
        <v>0</v>
      </c>
      <c r="S161" s="78"/>
      <c r="T161" s="78">
        <v>0</v>
      </c>
      <c r="V161" s="78">
        <v>0</v>
      </c>
      <c r="W161" s="44"/>
      <c r="X161" s="78">
        <v>0</v>
      </c>
      <c r="Y161" s="44"/>
      <c r="Z161" s="78">
        <v>0</v>
      </c>
      <c r="AA161" s="44"/>
      <c r="AB161" s="78">
        <v>0</v>
      </c>
      <c r="AC161" s="78"/>
      <c r="AD161" s="78">
        <f>J161+L161+N161+P161+R161+T161+V161+X161+Z161+AB161</f>
        <v>0</v>
      </c>
      <c r="AE161" s="78"/>
      <c r="AF161" s="327">
        <f>AA161*AB161</f>
        <v>0</v>
      </c>
      <c r="AH161" s="327">
        <v>0</v>
      </c>
      <c r="AI161" s="44"/>
      <c r="AJ161" s="327">
        <v>0</v>
      </c>
      <c r="AK161" s="44"/>
      <c r="AL161" s="327">
        <v>0</v>
      </c>
      <c r="AM161" s="44"/>
      <c r="AN161" s="327">
        <v>0</v>
      </c>
      <c r="AO161" s="78"/>
      <c r="AP161" s="327">
        <v>0</v>
      </c>
      <c r="AR161" s="327">
        <v>0</v>
      </c>
      <c r="AS161" s="44"/>
      <c r="AT161" s="327">
        <v>0</v>
      </c>
      <c r="AU161" s="44"/>
      <c r="AV161" s="327">
        <v>0</v>
      </c>
      <c r="AW161" s="44"/>
      <c r="AX161" s="327">
        <v>0</v>
      </c>
      <c r="AY161" s="78"/>
      <c r="AZ161" s="327">
        <f>AF161+AH161+AJ161+AL161+AN161+AP161+AR161+AT161+AV161+AX161</f>
        <v>0</v>
      </c>
      <c r="BF161" s="59"/>
      <c r="BJ161" s="59"/>
      <c r="BN161" s="59"/>
      <c r="BR161" s="59"/>
      <c r="BV161" s="59"/>
      <c r="BZ161" s="59"/>
      <c r="CD161" s="59"/>
      <c r="CH161" s="59"/>
      <c r="CL161" s="59"/>
      <c r="CP161" s="59"/>
    </row>
    <row r="162" spans="1:94" outlineLevel="1" x14ac:dyDescent="0.25">
      <c r="A162" s="77" t="s">
        <v>30</v>
      </c>
      <c r="B162" s="10"/>
      <c r="C162" s="13" t="s">
        <v>36</v>
      </c>
      <c r="E162" s="66"/>
      <c r="F162" s="67"/>
      <c r="J162" s="78">
        <f>E162*F162</f>
        <v>0</v>
      </c>
      <c r="L162" s="78">
        <v>0</v>
      </c>
      <c r="M162" s="44"/>
      <c r="N162" s="78">
        <v>0</v>
      </c>
      <c r="O162" s="44"/>
      <c r="P162" s="78">
        <v>0</v>
      </c>
      <c r="Q162" s="44"/>
      <c r="R162" s="78">
        <v>0</v>
      </c>
      <c r="S162" s="78"/>
      <c r="T162" s="78">
        <v>0</v>
      </c>
      <c r="V162" s="78">
        <v>0</v>
      </c>
      <c r="W162" s="44"/>
      <c r="X162" s="78">
        <v>0</v>
      </c>
      <c r="Y162" s="44"/>
      <c r="Z162" s="78">
        <v>0</v>
      </c>
      <c r="AA162" s="44"/>
      <c r="AB162" s="78">
        <v>0</v>
      </c>
      <c r="AC162" s="78"/>
      <c r="AD162" s="78">
        <f>J162+L162+N162+P162+R162+T162+V162+X162+Z162+AB162</f>
        <v>0</v>
      </c>
      <c r="AE162" s="78"/>
      <c r="AF162" s="327">
        <f>AA162*AB162</f>
        <v>0</v>
      </c>
      <c r="AH162" s="327">
        <v>0</v>
      </c>
      <c r="AI162" s="44"/>
      <c r="AJ162" s="327">
        <v>0</v>
      </c>
      <c r="AK162" s="44"/>
      <c r="AL162" s="327">
        <v>0</v>
      </c>
      <c r="AM162" s="44"/>
      <c r="AN162" s="327">
        <v>0</v>
      </c>
      <c r="AO162" s="78"/>
      <c r="AP162" s="327">
        <v>0</v>
      </c>
      <c r="AR162" s="327">
        <v>0</v>
      </c>
      <c r="AS162" s="44"/>
      <c r="AT162" s="327">
        <v>0</v>
      </c>
      <c r="AU162" s="44"/>
      <c r="AV162" s="327">
        <v>0</v>
      </c>
      <c r="AW162" s="44"/>
      <c r="AX162" s="327">
        <v>0</v>
      </c>
      <c r="AY162" s="78"/>
      <c r="AZ162" s="327">
        <f>AF162+AH162+AJ162+AL162+AN162+AP162+AR162+AT162+AV162+AX162</f>
        <v>0</v>
      </c>
      <c r="BF162" s="59"/>
      <c r="BJ162" s="59"/>
      <c r="BN162" s="59"/>
      <c r="BR162" s="59"/>
      <c r="BV162" s="59"/>
      <c r="BZ162" s="59"/>
      <c r="CD162" s="59"/>
      <c r="CH162" s="59"/>
      <c r="CL162" s="59"/>
      <c r="CP162" s="59"/>
    </row>
    <row r="163" spans="1:94" outlineLevel="1" x14ac:dyDescent="0.25">
      <c r="A163" s="77" t="s">
        <v>30</v>
      </c>
      <c r="B163" s="10"/>
      <c r="C163" s="13" t="s">
        <v>37</v>
      </c>
      <c r="E163" s="66"/>
      <c r="F163" s="67"/>
      <c r="J163" s="78">
        <f>E163*F163</f>
        <v>0</v>
      </c>
      <c r="L163" s="78">
        <v>0</v>
      </c>
      <c r="M163" s="44"/>
      <c r="N163" s="78">
        <v>0</v>
      </c>
      <c r="O163" s="44"/>
      <c r="P163" s="78">
        <v>0</v>
      </c>
      <c r="Q163" s="44"/>
      <c r="R163" s="78">
        <v>0</v>
      </c>
      <c r="S163" s="78"/>
      <c r="T163" s="78">
        <v>0</v>
      </c>
      <c r="V163" s="78">
        <v>0</v>
      </c>
      <c r="W163" s="44"/>
      <c r="X163" s="78">
        <v>0</v>
      </c>
      <c r="Y163" s="44"/>
      <c r="Z163" s="78">
        <v>0</v>
      </c>
      <c r="AA163" s="44"/>
      <c r="AB163" s="78">
        <v>0</v>
      </c>
      <c r="AC163" s="78"/>
      <c r="AD163" s="11">
        <f>J163+L163+N163+P163+R163+T163+V163+X163+Z163+AB163</f>
        <v>0</v>
      </c>
      <c r="AE163" s="78"/>
      <c r="AF163" s="327">
        <f>AA163*AB163</f>
        <v>0</v>
      </c>
      <c r="AH163" s="327">
        <v>0</v>
      </c>
      <c r="AI163" s="44"/>
      <c r="AJ163" s="327">
        <v>0</v>
      </c>
      <c r="AK163" s="44"/>
      <c r="AL163" s="327">
        <v>0</v>
      </c>
      <c r="AM163" s="44"/>
      <c r="AN163" s="327">
        <v>0</v>
      </c>
      <c r="AO163" s="78"/>
      <c r="AP163" s="327">
        <v>0</v>
      </c>
      <c r="AR163" s="327">
        <v>0</v>
      </c>
      <c r="AS163" s="44"/>
      <c r="AT163" s="327">
        <v>0</v>
      </c>
      <c r="AU163" s="44"/>
      <c r="AV163" s="327">
        <v>0</v>
      </c>
      <c r="AW163" s="44"/>
      <c r="AX163" s="327">
        <v>0</v>
      </c>
      <c r="AY163" s="78"/>
      <c r="AZ163" s="338">
        <f>AF163+AH163+AJ163+AL163+AN163+AP163+AR163+AT163+AV163+AX163</f>
        <v>0</v>
      </c>
      <c r="BF163" s="59"/>
      <c r="BJ163" s="59"/>
      <c r="BN163" s="59"/>
      <c r="BR163" s="59"/>
      <c r="BV163" s="59"/>
      <c r="BZ163" s="59"/>
      <c r="CD163" s="59"/>
      <c r="CH163" s="59"/>
      <c r="CL163" s="59"/>
      <c r="CP163" s="59"/>
    </row>
    <row r="164" spans="1:94" ht="9.6" customHeight="1" x14ac:dyDescent="0.25">
      <c r="B164" s="10"/>
      <c r="J164" s="14"/>
      <c r="L164" s="14"/>
      <c r="M164" s="44"/>
      <c r="N164" s="14"/>
      <c r="O164" s="44"/>
      <c r="P164" s="14"/>
      <c r="Q164" s="44"/>
      <c r="R164" s="14"/>
      <c r="S164" s="44"/>
      <c r="T164" s="14"/>
      <c r="V164" s="14"/>
      <c r="W164" s="44"/>
      <c r="X164" s="14"/>
      <c r="Y164" s="44"/>
      <c r="Z164" s="14"/>
      <c r="AA164" s="44"/>
      <c r="AB164" s="14"/>
      <c r="AC164" s="78"/>
      <c r="AD164" s="78"/>
      <c r="AF164" s="330"/>
      <c r="AH164" s="330"/>
      <c r="AI164" s="44"/>
      <c r="AJ164" s="330"/>
      <c r="AK164" s="44"/>
      <c r="AL164" s="330"/>
      <c r="AM164" s="44"/>
      <c r="AN164" s="330"/>
      <c r="AO164" s="44"/>
      <c r="AP164" s="330"/>
      <c r="AR164" s="330"/>
      <c r="AS164" s="44"/>
      <c r="AT164" s="330"/>
      <c r="AU164" s="44"/>
      <c r="AV164" s="330"/>
      <c r="AW164" s="44"/>
      <c r="AX164" s="330"/>
      <c r="AY164" s="78"/>
      <c r="AZ164" s="327"/>
      <c r="BF164" s="59"/>
      <c r="BJ164" s="59"/>
      <c r="BN164" s="59"/>
      <c r="BR164" s="59"/>
      <c r="BV164" s="59"/>
      <c r="BZ164" s="59"/>
      <c r="CD164" s="59"/>
      <c r="CH164" s="59"/>
      <c r="CL164" s="59"/>
      <c r="CP164" s="59"/>
    </row>
    <row r="165" spans="1:94" x14ac:dyDescent="0.25">
      <c r="B165" s="10"/>
      <c r="C165" s="77" t="s">
        <v>44</v>
      </c>
      <c r="J165" s="78">
        <f>SUM(J154:J163)</f>
        <v>0</v>
      </c>
      <c r="L165" s="78">
        <f>SUM(L154:L163)</f>
        <v>0</v>
      </c>
      <c r="M165" s="78"/>
      <c r="N165" s="78">
        <f>SUM(N154:N163)</f>
        <v>0</v>
      </c>
      <c r="O165" s="78"/>
      <c r="P165" s="78">
        <f>SUM(P154:P163)</f>
        <v>0</v>
      </c>
      <c r="Q165" s="78"/>
      <c r="R165" s="78">
        <f>SUM(R154:R163)</f>
        <v>0</v>
      </c>
      <c r="S165" s="78"/>
      <c r="T165" s="78">
        <f>SUM(T154:T163)</f>
        <v>0</v>
      </c>
      <c r="V165" s="78">
        <f>SUM(V154:V163)</f>
        <v>0</v>
      </c>
      <c r="W165" s="78"/>
      <c r="X165" s="78">
        <f>SUM(X154:X163)</f>
        <v>0</v>
      </c>
      <c r="Y165" s="78"/>
      <c r="Z165" s="78">
        <f>SUM(Z154:Z163)</f>
        <v>0</v>
      </c>
      <c r="AA165" s="78"/>
      <c r="AB165" s="78">
        <f>SUM(AB154:AB163)</f>
        <v>0</v>
      </c>
      <c r="AC165" s="78"/>
      <c r="AD165" s="78">
        <f>J165+L165+N165+P165+R165+T165+V165+X165+Z165+AB165</f>
        <v>0</v>
      </c>
      <c r="AE165" s="78"/>
      <c r="AF165" s="327">
        <f>SUM(AF154:AF163)</f>
        <v>0</v>
      </c>
      <c r="AH165" s="327">
        <f>SUM(AH154:AH163)</f>
        <v>0</v>
      </c>
      <c r="AI165" s="78"/>
      <c r="AJ165" s="327">
        <f>SUM(AJ154:AJ163)</f>
        <v>0</v>
      </c>
      <c r="AK165" s="78"/>
      <c r="AL165" s="327">
        <f>SUM(AL154:AL163)</f>
        <v>0</v>
      </c>
      <c r="AM165" s="78"/>
      <c r="AN165" s="327">
        <f>SUM(AN154:AN163)</f>
        <v>0</v>
      </c>
      <c r="AO165" s="78"/>
      <c r="AP165" s="327">
        <f>SUM(AP154:AP163)</f>
        <v>0</v>
      </c>
      <c r="AR165" s="327">
        <f>SUM(AR154:AR163)</f>
        <v>0</v>
      </c>
      <c r="AS165" s="78"/>
      <c r="AT165" s="327">
        <f>SUM(AT154:AT163)</f>
        <v>0</v>
      </c>
      <c r="AU165" s="78"/>
      <c r="AV165" s="327">
        <f>SUM(AV154:AV163)</f>
        <v>0</v>
      </c>
      <c r="AW165" s="78"/>
      <c r="AX165" s="327">
        <f>SUM(AX154:AX163)</f>
        <v>0</v>
      </c>
      <c r="AY165" s="78"/>
      <c r="AZ165" s="327">
        <f>AF165+AH165+AJ165+AL165+AN165+AP165+AR165+AT165+AV165+AX165</f>
        <v>0</v>
      </c>
      <c r="BF165" s="59"/>
      <c r="BJ165" s="59"/>
      <c r="BN165" s="59"/>
      <c r="BR165" s="59"/>
      <c r="BV165" s="59"/>
      <c r="BZ165" s="59"/>
      <c r="CD165" s="59"/>
      <c r="CH165" s="59"/>
      <c r="CL165" s="59"/>
      <c r="CP165" s="59"/>
    </row>
    <row r="166" spans="1:94" x14ac:dyDescent="0.25">
      <c r="M166" s="44"/>
      <c r="N166" s="44"/>
      <c r="O166" s="44"/>
      <c r="P166" s="44"/>
      <c r="Q166" s="44"/>
      <c r="R166" s="44"/>
      <c r="S166" s="44"/>
      <c r="W166" s="44"/>
      <c r="X166" s="44"/>
      <c r="Y166" s="44"/>
      <c r="Z166" s="44"/>
      <c r="AA166" s="44"/>
      <c r="AB166" s="44"/>
      <c r="AC166" s="44"/>
      <c r="AD166" s="78"/>
      <c r="AI166" s="44"/>
      <c r="AJ166" s="89"/>
      <c r="AK166" s="44"/>
      <c r="AL166" s="89"/>
      <c r="AM166" s="44"/>
      <c r="AN166" s="89"/>
      <c r="AO166" s="44"/>
      <c r="AS166" s="44"/>
      <c r="AT166" s="89"/>
      <c r="AU166" s="44"/>
      <c r="AV166" s="89"/>
      <c r="AW166" s="44"/>
      <c r="AX166" s="89"/>
      <c r="AY166" s="44"/>
      <c r="AZ166" s="327"/>
      <c r="BF166" s="59"/>
      <c r="BJ166" s="59"/>
      <c r="BN166" s="59"/>
      <c r="BR166" s="59"/>
      <c r="BV166" s="59"/>
      <c r="BZ166" s="59"/>
      <c r="CD166" s="59"/>
      <c r="CH166" s="59"/>
      <c r="CL166" s="59"/>
      <c r="CP166" s="59"/>
    </row>
    <row r="167" spans="1:94" x14ac:dyDescent="0.25">
      <c r="B167" s="10" t="s">
        <v>11</v>
      </c>
      <c r="C167" s="10" t="s">
        <v>12</v>
      </c>
      <c r="M167" s="44"/>
      <c r="N167" s="44"/>
      <c r="O167" s="44"/>
      <c r="P167" s="44"/>
      <c r="Q167" s="44"/>
      <c r="R167" s="44"/>
      <c r="S167" s="44"/>
      <c r="W167" s="44"/>
      <c r="X167" s="44"/>
      <c r="Y167" s="44"/>
      <c r="Z167" s="44"/>
      <c r="AA167" s="44"/>
      <c r="AB167" s="44"/>
      <c r="AC167" s="44"/>
      <c r="AD167" s="78"/>
      <c r="AI167" s="44"/>
      <c r="AJ167" s="89"/>
      <c r="AK167" s="44"/>
      <c r="AL167" s="89"/>
      <c r="AM167" s="44"/>
      <c r="AN167" s="89"/>
      <c r="AO167" s="44"/>
      <c r="AS167" s="44"/>
      <c r="AT167" s="89"/>
      <c r="AU167" s="44"/>
      <c r="AV167" s="89"/>
      <c r="AW167" s="44"/>
      <c r="AX167" s="89"/>
      <c r="AY167" s="44"/>
      <c r="AZ167" s="327"/>
      <c r="BF167" s="59"/>
      <c r="BJ167" s="59"/>
      <c r="BN167" s="59"/>
      <c r="BR167" s="59"/>
      <c r="BV167" s="59"/>
      <c r="BZ167" s="59"/>
      <c r="CD167" s="59"/>
      <c r="CH167" s="59"/>
      <c r="CL167" s="59"/>
      <c r="CP167" s="59"/>
    </row>
    <row r="168" spans="1:94" x14ac:dyDescent="0.25">
      <c r="A168" s="36"/>
      <c r="B168" s="10"/>
      <c r="C168" s="77" t="s">
        <v>45</v>
      </c>
      <c r="M168" s="44"/>
      <c r="N168" s="44"/>
      <c r="O168" s="44"/>
      <c r="P168" s="44"/>
      <c r="Q168" s="44"/>
      <c r="R168" s="44"/>
      <c r="S168" s="44"/>
      <c r="W168" s="44"/>
      <c r="X168" s="44"/>
      <c r="Y168" s="44"/>
      <c r="Z168" s="44"/>
      <c r="AA168" s="44"/>
      <c r="AB168" s="44"/>
      <c r="AC168" s="44"/>
      <c r="AD168" s="78"/>
      <c r="AI168" s="44"/>
      <c r="AJ168" s="89"/>
      <c r="AK168" s="44"/>
      <c r="AL168" s="89"/>
      <c r="AM168" s="44"/>
      <c r="AN168" s="89"/>
      <c r="AO168" s="44"/>
      <c r="AS168" s="44"/>
      <c r="AT168" s="89"/>
      <c r="AU168" s="44"/>
      <c r="AV168" s="89"/>
      <c r="AW168" s="44"/>
      <c r="AX168" s="89"/>
      <c r="AY168" s="44"/>
      <c r="AZ168" s="327"/>
      <c r="BF168" s="59"/>
      <c r="BJ168" s="59"/>
      <c r="BN168" s="59"/>
      <c r="BR168" s="59"/>
      <c r="BV168" s="59"/>
      <c r="BZ168" s="59"/>
      <c r="CD168" s="59"/>
      <c r="CH168" s="59"/>
      <c r="CL168" s="59"/>
      <c r="CP168" s="59"/>
    </row>
    <row r="169" spans="1:94" x14ac:dyDescent="0.25">
      <c r="A169" s="36" t="s">
        <v>45</v>
      </c>
      <c r="B169" s="10"/>
      <c r="C169" s="13"/>
      <c r="D169" s="77" t="s">
        <v>264</v>
      </c>
      <c r="E169" s="13"/>
      <c r="J169" s="78">
        <v>0</v>
      </c>
      <c r="L169" s="78">
        <v>0</v>
      </c>
      <c r="M169" s="44"/>
      <c r="N169" s="78">
        <v>0</v>
      </c>
      <c r="O169" s="44"/>
      <c r="P169" s="78">
        <v>0</v>
      </c>
      <c r="Q169" s="44"/>
      <c r="R169" s="78">
        <v>0</v>
      </c>
      <c r="S169" s="78"/>
      <c r="T169" s="78">
        <v>0</v>
      </c>
      <c r="V169" s="78">
        <v>0</v>
      </c>
      <c r="W169" s="44"/>
      <c r="X169" s="78">
        <v>0</v>
      </c>
      <c r="Y169" s="44"/>
      <c r="Z169" s="78">
        <v>0</v>
      </c>
      <c r="AA169" s="44"/>
      <c r="AB169" s="78">
        <v>0</v>
      </c>
      <c r="AC169" s="78"/>
      <c r="AD169" s="78">
        <f t="shared" ref="AD169:AD174" si="34">J169+L169+N169+P169+R169+T169+V169+X169+Z169+AB169</f>
        <v>0</v>
      </c>
      <c r="AE169" s="78"/>
      <c r="AF169" s="327">
        <v>0</v>
      </c>
      <c r="AH169" s="327">
        <v>0</v>
      </c>
      <c r="AI169" s="44"/>
      <c r="AJ169" s="327">
        <v>0</v>
      </c>
      <c r="AK169" s="44"/>
      <c r="AL169" s="327">
        <v>0</v>
      </c>
      <c r="AM169" s="44"/>
      <c r="AN169" s="327">
        <v>0</v>
      </c>
      <c r="AO169" s="78"/>
      <c r="AP169" s="327">
        <v>0</v>
      </c>
      <c r="AR169" s="327">
        <v>0</v>
      </c>
      <c r="AS169" s="44"/>
      <c r="AT169" s="327">
        <v>0</v>
      </c>
      <c r="AU169" s="44"/>
      <c r="AV169" s="327">
        <v>0</v>
      </c>
      <c r="AW169" s="44"/>
      <c r="AX169" s="327">
        <v>0</v>
      </c>
      <c r="AY169" s="78"/>
      <c r="AZ169" s="327">
        <f t="shared" ref="AZ169:AZ174" si="35">AF169+AH169+AJ169+AL169+AN169+AP169+AR169+AT169+AV169+AX169</f>
        <v>0</v>
      </c>
      <c r="BF169" s="59"/>
      <c r="BJ169" s="59"/>
      <c r="BN169" s="59"/>
      <c r="BR169" s="59"/>
      <c r="BV169" s="59"/>
      <c r="BZ169" s="59"/>
      <c r="CD169" s="59"/>
      <c r="CH169" s="59"/>
      <c r="CL169" s="59"/>
      <c r="CP169" s="59"/>
    </row>
    <row r="170" spans="1:94" x14ac:dyDescent="0.25">
      <c r="A170" s="36" t="s">
        <v>45</v>
      </c>
      <c r="B170" s="10"/>
      <c r="D170" s="77" t="s">
        <v>213</v>
      </c>
      <c r="E170" s="13"/>
      <c r="J170" s="78">
        <v>0</v>
      </c>
      <c r="L170" s="78">
        <v>0</v>
      </c>
      <c r="M170" s="44"/>
      <c r="N170" s="78">
        <v>0</v>
      </c>
      <c r="O170" s="44"/>
      <c r="P170" s="78">
        <v>0</v>
      </c>
      <c r="Q170" s="44"/>
      <c r="R170" s="78">
        <v>0</v>
      </c>
      <c r="S170" s="78"/>
      <c r="T170" s="78">
        <v>0</v>
      </c>
      <c r="V170" s="78">
        <v>0</v>
      </c>
      <c r="W170" s="44"/>
      <c r="X170" s="78">
        <v>0</v>
      </c>
      <c r="Y170" s="44"/>
      <c r="Z170" s="78">
        <v>0</v>
      </c>
      <c r="AA170" s="44"/>
      <c r="AB170" s="78">
        <v>0</v>
      </c>
      <c r="AC170" s="78"/>
      <c r="AD170" s="78">
        <f t="shared" si="34"/>
        <v>0</v>
      </c>
      <c r="AE170" s="78"/>
      <c r="AF170" s="327">
        <v>0</v>
      </c>
      <c r="AH170" s="327">
        <v>0</v>
      </c>
      <c r="AI170" s="44"/>
      <c r="AJ170" s="327">
        <v>0</v>
      </c>
      <c r="AK170" s="44"/>
      <c r="AL170" s="327">
        <v>0</v>
      </c>
      <c r="AM170" s="44"/>
      <c r="AN170" s="327">
        <v>0</v>
      </c>
      <c r="AO170" s="78"/>
      <c r="AP170" s="327">
        <v>0</v>
      </c>
      <c r="AR170" s="327">
        <v>0</v>
      </c>
      <c r="AS170" s="44"/>
      <c r="AT170" s="327">
        <v>0</v>
      </c>
      <c r="AU170" s="44"/>
      <c r="AV170" s="327">
        <v>0</v>
      </c>
      <c r="AW170" s="44"/>
      <c r="AX170" s="327">
        <v>0</v>
      </c>
      <c r="AY170" s="78"/>
      <c r="AZ170" s="327">
        <f t="shared" si="35"/>
        <v>0</v>
      </c>
      <c r="BF170" s="59"/>
      <c r="BJ170" s="59"/>
      <c r="BN170" s="59"/>
      <c r="BR170" s="59"/>
      <c r="BV170" s="59"/>
      <c r="BZ170" s="59"/>
      <c r="CD170" s="59"/>
      <c r="CH170" s="59"/>
      <c r="CL170" s="59"/>
      <c r="CP170" s="59"/>
    </row>
    <row r="171" spans="1:94" x14ac:dyDescent="0.25">
      <c r="A171" s="36" t="s">
        <v>45</v>
      </c>
      <c r="B171" s="10"/>
      <c r="D171" s="77" t="s">
        <v>220</v>
      </c>
      <c r="J171" s="78">
        <v>0</v>
      </c>
      <c r="L171" s="78">
        <v>0</v>
      </c>
      <c r="M171" s="44"/>
      <c r="N171" s="78">
        <v>0</v>
      </c>
      <c r="O171" s="44"/>
      <c r="P171" s="78">
        <v>0</v>
      </c>
      <c r="Q171" s="44"/>
      <c r="R171" s="78">
        <v>0</v>
      </c>
      <c r="S171" s="78"/>
      <c r="T171" s="78">
        <v>0</v>
      </c>
      <c r="V171" s="78">
        <v>0</v>
      </c>
      <c r="W171" s="44"/>
      <c r="X171" s="78">
        <v>0</v>
      </c>
      <c r="Y171" s="44"/>
      <c r="Z171" s="78">
        <v>0</v>
      </c>
      <c r="AA171" s="44"/>
      <c r="AB171" s="78">
        <v>0</v>
      </c>
      <c r="AC171" s="78"/>
      <c r="AD171" s="78">
        <f t="shared" si="34"/>
        <v>0</v>
      </c>
      <c r="AE171" s="78"/>
      <c r="AF171" s="327">
        <v>0</v>
      </c>
      <c r="AH171" s="327">
        <v>0</v>
      </c>
      <c r="AI171" s="44"/>
      <c r="AJ171" s="327">
        <v>0</v>
      </c>
      <c r="AK171" s="44"/>
      <c r="AL171" s="327">
        <v>0</v>
      </c>
      <c r="AM171" s="44"/>
      <c r="AN171" s="327">
        <v>0</v>
      </c>
      <c r="AO171" s="78"/>
      <c r="AP171" s="327">
        <v>0</v>
      </c>
      <c r="AR171" s="327">
        <v>0</v>
      </c>
      <c r="AS171" s="44"/>
      <c r="AT171" s="327">
        <v>0</v>
      </c>
      <c r="AU171" s="44"/>
      <c r="AV171" s="327">
        <v>0</v>
      </c>
      <c r="AW171" s="44"/>
      <c r="AX171" s="327">
        <v>0</v>
      </c>
      <c r="AY171" s="78"/>
      <c r="AZ171" s="327">
        <f t="shared" si="35"/>
        <v>0</v>
      </c>
      <c r="BF171" s="59"/>
      <c r="BJ171" s="59"/>
      <c r="BN171" s="59"/>
      <c r="BR171" s="59"/>
      <c r="BV171" s="59"/>
      <c r="BZ171" s="59"/>
      <c r="CD171" s="59"/>
      <c r="CH171" s="59"/>
      <c r="CL171" s="59"/>
      <c r="CP171" s="59"/>
    </row>
    <row r="172" spans="1:94" x14ac:dyDescent="0.25">
      <c r="A172" s="36" t="s">
        <v>45</v>
      </c>
      <c r="B172" s="10"/>
      <c r="C172" s="13"/>
      <c r="D172" s="13" t="s">
        <v>265</v>
      </c>
      <c r="J172" s="78">
        <v>0</v>
      </c>
      <c r="L172" s="78">
        <v>0</v>
      </c>
      <c r="M172" s="44"/>
      <c r="N172" s="78">
        <v>0</v>
      </c>
      <c r="O172" s="44"/>
      <c r="P172" s="78">
        <v>0</v>
      </c>
      <c r="Q172" s="44"/>
      <c r="R172" s="78">
        <v>0</v>
      </c>
      <c r="S172" s="78"/>
      <c r="T172" s="78">
        <v>0</v>
      </c>
      <c r="V172" s="78">
        <v>0</v>
      </c>
      <c r="W172" s="44"/>
      <c r="X172" s="78">
        <v>0</v>
      </c>
      <c r="Y172" s="44"/>
      <c r="Z172" s="78">
        <v>0</v>
      </c>
      <c r="AA172" s="44"/>
      <c r="AB172" s="78">
        <v>0</v>
      </c>
      <c r="AC172" s="78"/>
      <c r="AD172" s="78">
        <f t="shared" si="34"/>
        <v>0</v>
      </c>
      <c r="AE172" s="78"/>
      <c r="AF172" s="327">
        <v>0</v>
      </c>
      <c r="AH172" s="327">
        <v>0</v>
      </c>
      <c r="AI172" s="44"/>
      <c r="AJ172" s="327">
        <v>0</v>
      </c>
      <c r="AK172" s="44"/>
      <c r="AL172" s="327">
        <v>0</v>
      </c>
      <c r="AM172" s="44"/>
      <c r="AN172" s="327">
        <v>0</v>
      </c>
      <c r="AO172" s="78"/>
      <c r="AP172" s="327">
        <v>0</v>
      </c>
      <c r="AR172" s="327">
        <v>0</v>
      </c>
      <c r="AS172" s="44"/>
      <c r="AT172" s="327">
        <v>0</v>
      </c>
      <c r="AU172" s="44"/>
      <c r="AV172" s="327">
        <v>0</v>
      </c>
      <c r="AW172" s="44"/>
      <c r="AX172" s="327">
        <v>0</v>
      </c>
      <c r="AY172" s="78"/>
      <c r="AZ172" s="327">
        <f t="shared" si="35"/>
        <v>0</v>
      </c>
      <c r="BF172" s="59"/>
      <c r="BJ172" s="59"/>
      <c r="BN172" s="59"/>
      <c r="BR172" s="59"/>
      <c r="BV172" s="59"/>
      <c r="BZ172" s="59"/>
      <c r="CD172" s="59"/>
      <c r="CH172" s="59"/>
      <c r="CL172" s="59"/>
      <c r="CP172" s="59"/>
    </row>
    <row r="173" spans="1:94" x14ac:dyDescent="0.25">
      <c r="A173" s="36" t="s">
        <v>45</v>
      </c>
      <c r="B173" s="10"/>
      <c r="C173" s="13"/>
      <c r="D173" s="13" t="s">
        <v>266</v>
      </c>
      <c r="E173" s="13"/>
      <c r="J173" s="78">
        <v>0</v>
      </c>
      <c r="L173" s="78">
        <v>0</v>
      </c>
      <c r="M173" s="44"/>
      <c r="N173" s="78">
        <v>0</v>
      </c>
      <c r="O173" s="44"/>
      <c r="P173" s="78">
        <v>0</v>
      </c>
      <c r="Q173" s="44"/>
      <c r="R173" s="78">
        <v>0</v>
      </c>
      <c r="S173" s="78"/>
      <c r="T173" s="78">
        <v>0</v>
      </c>
      <c r="V173" s="78">
        <v>0</v>
      </c>
      <c r="W173" s="44"/>
      <c r="X173" s="78">
        <v>0</v>
      </c>
      <c r="Y173" s="44"/>
      <c r="Z173" s="78">
        <v>0</v>
      </c>
      <c r="AA173" s="44"/>
      <c r="AB173" s="78">
        <v>0</v>
      </c>
      <c r="AC173" s="78"/>
      <c r="AD173" s="78">
        <f t="shared" si="34"/>
        <v>0</v>
      </c>
      <c r="AE173" s="78"/>
      <c r="AF173" s="327">
        <v>0</v>
      </c>
      <c r="AH173" s="327">
        <v>0</v>
      </c>
      <c r="AI173" s="44"/>
      <c r="AJ173" s="327">
        <v>0</v>
      </c>
      <c r="AK173" s="44"/>
      <c r="AL173" s="327">
        <v>0</v>
      </c>
      <c r="AM173" s="44"/>
      <c r="AN173" s="327">
        <v>0</v>
      </c>
      <c r="AO173" s="78"/>
      <c r="AP173" s="327">
        <v>0</v>
      </c>
      <c r="AR173" s="327">
        <v>0</v>
      </c>
      <c r="AS173" s="44"/>
      <c r="AT173" s="327">
        <v>0</v>
      </c>
      <c r="AU173" s="44"/>
      <c r="AV173" s="327">
        <v>0</v>
      </c>
      <c r="AW173" s="44"/>
      <c r="AX173" s="327">
        <v>0</v>
      </c>
      <c r="AY173" s="78"/>
      <c r="AZ173" s="327">
        <f t="shared" si="35"/>
        <v>0</v>
      </c>
      <c r="BF173" s="59"/>
      <c r="BJ173" s="59"/>
      <c r="BN173" s="59"/>
      <c r="BR173" s="59"/>
      <c r="BV173" s="59"/>
      <c r="BZ173" s="59"/>
      <c r="CD173" s="59"/>
      <c r="CH173" s="59"/>
      <c r="CL173" s="59"/>
      <c r="CP173" s="59"/>
    </row>
    <row r="174" spans="1:94" x14ac:dyDescent="0.25">
      <c r="A174" s="36" t="s">
        <v>26</v>
      </c>
      <c r="B174" s="10"/>
      <c r="C174" s="77" t="s">
        <v>26</v>
      </c>
      <c r="E174" s="13"/>
      <c r="F174" s="26"/>
      <c r="G174" s="26"/>
      <c r="H174" s="27"/>
      <c r="I174" s="27"/>
      <c r="J174" s="78">
        <v>0</v>
      </c>
      <c r="L174" s="78">
        <v>0</v>
      </c>
      <c r="M174" s="44"/>
      <c r="N174" s="78">
        <v>0</v>
      </c>
      <c r="O174" s="44"/>
      <c r="P174" s="78">
        <v>0</v>
      </c>
      <c r="Q174" s="44"/>
      <c r="R174" s="78">
        <v>0</v>
      </c>
      <c r="S174" s="44"/>
      <c r="T174" s="78">
        <v>0</v>
      </c>
      <c r="V174" s="78">
        <v>0</v>
      </c>
      <c r="W174" s="44"/>
      <c r="X174" s="78">
        <v>0</v>
      </c>
      <c r="Y174" s="44"/>
      <c r="Z174" s="78">
        <v>0</v>
      </c>
      <c r="AA174" s="44"/>
      <c r="AB174" s="78">
        <v>0</v>
      </c>
      <c r="AC174" s="78"/>
      <c r="AD174" s="78">
        <f t="shared" si="34"/>
        <v>0</v>
      </c>
      <c r="AE174" s="78"/>
      <c r="AF174" s="327">
        <v>0</v>
      </c>
      <c r="AH174" s="327">
        <v>0</v>
      </c>
      <c r="AI174" s="44"/>
      <c r="AJ174" s="327">
        <v>0</v>
      </c>
      <c r="AK174" s="44"/>
      <c r="AL174" s="327">
        <v>0</v>
      </c>
      <c r="AM174" s="44"/>
      <c r="AN174" s="327">
        <v>0</v>
      </c>
      <c r="AO174" s="44"/>
      <c r="AP174" s="327">
        <v>0</v>
      </c>
      <c r="AR174" s="327">
        <v>0</v>
      </c>
      <c r="AS174" s="44"/>
      <c r="AT174" s="327">
        <v>0</v>
      </c>
      <c r="AU174" s="44"/>
      <c r="AV174" s="327">
        <v>0</v>
      </c>
      <c r="AW174" s="44"/>
      <c r="AX174" s="327">
        <v>0</v>
      </c>
      <c r="AY174" s="78"/>
      <c r="AZ174" s="327">
        <f t="shared" si="35"/>
        <v>0</v>
      </c>
      <c r="BF174" s="59"/>
      <c r="BJ174" s="59"/>
      <c r="BN174" s="59"/>
      <c r="BR174" s="59"/>
      <c r="BV174" s="59"/>
      <c r="BZ174" s="59"/>
      <c r="CD174" s="59"/>
      <c r="CH174" s="59"/>
      <c r="CL174" s="59"/>
      <c r="CP174" s="59"/>
    </row>
    <row r="175" spans="1:94" x14ac:dyDescent="0.25">
      <c r="A175" s="36"/>
      <c r="B175" s="10"/>
      <c r="C175" s="77" t="s">
        <v>27</v>
      </c>
      <c r="E175" s="13"/>
      <c r="G175" s="77"/>
      <c r="H175" s="77"/>
      <c r="M175" s="44"/>
      <c r="N175" s="78"/>
      <c r="O175" s="44"/>
      <c r="P175" s="78"/>
      <c r="Q175" s="44"/>
      <c r="R175" s="78"/>
      <c r="S175" s="78"/>
      <c r="W175" s="44"/>
      <c r="X175" s="78"/>
      <c r="Y175" s="44"/>
      <c r="Z175" s="78"/>
      <c r="AA175" s="44"/>
      <c r="AB175" s="78"/>
      <c r="AC175" s="78"/>
      <c r="AD175" s="78"/>
      <c r="AE175" s="78"/>
      <c r="AI175" s="44"/>
      <c r="AJ175" s="327"/>
      <c r="AK175" s="44"/>
      <c r="AL175" s="327"/>
      <c r="AM175" s="44"/>
      <c r="AN175" s="327"/>
      <c r="AO175" s="78"/>
      <c r="AS175" s="44"/>
      <c r="AT175" s="327"/>
      <c r="AU175" s="44"/>
      <c r="AV175" s="327"/>
      <c r="AW175" s="44"/>
      <c r="AX175" s="327"/>
      <c r="AY175" s="78"/>
      <c r="AZ175" s="327"/>
      <c r="BF175" s="59"/>
      <c r="BJ175" s="59"/>
      <c r="BN175" s="59"/>
      <c r="BR175" s="59"/>
      <c r="BV175" s="59"/>
      <c r="BZ175" s="59"/>
      <c r="CD175" s="59"/>
      <c r="CH175" s="59"/>
      <c r="CL175" s="59"/>
      <c r="CP175" s="59"/>
    </row>
    <row r="176" spans="1:94" x14ac:dyDescent="0.25">
      <c r="A176" s="36" t="s">
        <v>251</v>
      </c>
      <c r="B176" s="10"/>
      <c r="C176" s="13"/>
      <c r="D176" s="77" t="s">
        <v>93</v>
      </c>
      <c r="E176" s="13"/>
      <c r="G176" s="13"/>
      <c r="H176" s="77"/>
      <c r="J176" s="78">
        <v>0</v>
      </c>
      <c r="L176" s="78">
        <v>0</v>
      </c>
      <c r="M176" s="44"/>
      <c r="N176" s="78">
        <v>0</v>
      </c>
      <c r="O176" s="44"/>
      <c r="P176" s="78">
        <v>0</v>
      </c>
      <c r="Q176" s="44"/>
      <c r="R176" s="78">
        <v>0</v>
      </c>
      <c r="S176" s="78"/>
      <c r="T176" s="78">
        <v>0</v>
      </c>
      <c r="V176" s="78">
        <v>0</v>
      </c>
      <c r="W176" s="44"/>
      <c r="X176" s="78">
        <v>0</v>
      </c>
      <c r="Y176" s="44"/>
      <c r="Z176" s="78">
        <v>0</v>
      </c>
      <c r="AA176" s="44"/>
      <c r="AB176" s="78">
        <v>0</v>
      </c>
      <c r="AC176" s="78"/>
      <c r="AD176" s="78">
        <f>J176+L176+N176+P176+R176+T176+V176+X176+Z176+AB176</f>
        <v>0</v>
      </c>
      <c r="AE176" s="78"/>
      <c r="AF176" s="327">
        <v>0</v>
      </c>
      <c r="AH176" s="327">
        <v>0</v>
      </c>
      <c r="AI176" s="44"/>
      <c r="AJ176" s="327">
        <v>0</v>
      </c>
      <c r="AK176" s="44"/>
      <c r="AL176" s="327">
        <v>0</v>
      </c>
      <c r="AM176" s="44"/>
      <c r="AN176" s="327">
        <v>0</v>
      </c>
      <c r="AO176" s="78"/>
      <c r="AP176" s="327">
        <v>0</v>
      </c>
      <c r="AR176" s="327">
        <v>0</v>
      </c>
      <c r="AS176" s="44"/>
      <c r="AT176" s="327">
        <v>0</v>
      </c>
      <c r="AU176" s="44"/>
      <c r="AV176" s="327">
        <v>0</v>
      </c>
      <c r="AW176" s="44"/>
      <c r="AX176" s="327">
        <v>0</v>
      </c>
      <c r="AY176" s="78"/>
      <c r="AZ176" s="327">
        <f>AF176+AH176+AJ176+AL176+AN176+AP176+AR176+AT176+AV176+AX176</f>
        <v>0</v>
      </c>
      <c r="BF176" s="59"/>
      <c r="BJ176" s="59"/>
      <c r="BN176" s="59"/>
      <c r="BR176" s="59"/>
      <c r="BV176" s="59"/>
      <c r="BZ176" s="59"/>
      <c r="CD176" s="59"/>
      <c r="CH176" s="59"/>
      <c r="CL176" s="59"/>
      <c r="CP176" s="59"/>
    </row>
    <row r="177" spans="1:94" x14ac:dyDescent="0.25">
      <c r="A177" s="36" t="s">
        <v>247</v>
      </c>
      <c r="B177" s="10"/>
      <c r="C177" s="13" t="s">
        <v>247</v>
      </c>
      <c r="E177" s="13"/>
      <c r="J177" s="78">
        <v>0</v>
      </c>
      <c r="L177" s="78">
        <v>0</v>
      </c>
      <c r="M177" s="44"/>
      <c r="N177" s="78">
        <v>0</v>
      </c>
      <c r="O177" s="44"/>
      <c r="P177" s="78">
        <v>0</v>
      </c>
      <c r="Q177" s="44"/>
      <c r="R177" s="78">
        <v>0</v>
      </c>
      <c r="S177" s="78"/>
      <c r="T177" s="78">
        <v>0</v>
      </c>
      <c r="V177" s="78">
        <v>0</v>
      </c>
      <c r="W177" s="44"/>
      <c r="X177" s="78">
        <v>0</v>
      </c>
      <c r="Y177" s="44"/>
      <c r="Z177" s="78">
        <v>0</v>
      </c>
      <c r="AA177" s="44"/>
      <c r="AB177" s="78">
        <v>0</v>
      </c>
      <c r="AC177" s="78"/>
      <c r="AD177" s="78">
        <f>J177+L177+N177+P177+R177+T177+V177+X177+Z177+AB177</f>
        <v>0</v>
      </c>
      <c r="AE177" s="78"/>
      <c r="AF177" s="327">
        <v>0</v>
      </c>
      <c r="AH177" s="327">
        <v>0</v>
      </c>
      <c r="AI177" s="44"/>
      <c r="AJ177" s="327">
        <v>0</v>
      </c>
      <c r="AK177" s="44"/>
      <c r="AL177" s="327">
        <v>0</v>
      </c>
      <c r="AM177" s="44"/>
      <c r="AN177" s="327">
        <v>0</v>
      </c>
      <c r="AO177" s="78"/>
      <c r="AP177" s="327">
        <v>0</v>
      </c>
      <c r="AR177" s="327">
        <v>0</v>
      </c>
      <c r="AS177" s="44"/>
      <c r="AT177" s="327">
        <v>0</v>
      </c>
      <c r="AU177" s="44"/>
      <c r="AV177" s="327">
        <v>0</v>
      </c>
      <c r="AW177" s="44"/>
      <c r="AX177" s="327">
        <v>0</v>
      </c>
      <c r="AY177" s="78"/>
      <c r="AZ177" s="327">
        <f>AF177+AH177+AJ177+AL177+AN177+AP177+AR177+AT177+AV177+AX177</f>
        <v>0</v>
      </c>
      <c r="BF177" s="59"/>
      <c r="BJ177" s="59"/>
      <c r="BN177" s="59"/>
      <c r="BR177" s="59"/>
      <c r="BV177" s="59"/>
      <c r="BZ177" s="59"/>
      <c r="CD177" s="59"/>
      <c r="CH177" s="59"/>
      <c r="CL177" s="59"/>
      <c r="CP177" s="59"/>
    </row>
    <row r="178" spans="1:94" outlineLevel="1" x14ac:dyDescent="0.25">
      <c r="A178" s="36" t="s">
        <v>233</v>
      </c>
      <c r="B178" s="10"/>
      <c r="C178" s="77" t="s">
        <v>42</v>
      </c>
      <c r="E178" s="13"/>
      <c r="F178" s="18" t="s">
        <v>379</v>
      </c>
      <c r="G178" s="73">
        <v>0</v>
      </c>
      <c r="M178" s="78"/>
      <c r="N178" s="78"/>
      <c r="O178" s="78"/>
      <c r="P178" s="78"/>
      <c r="Q178" s="78"/>
      <c r="R178" s="78"/>
      <c r="S178" s="78"/>
      <c r="W178" s="78"/>
      <c r="X178" s="78"/>
      <c r="Y178" s="78"/>
      <c r="Z178" s="78"/>
      <c r="AA178" s="78"/>
      <c r="AB178" s="78"/>
      <c r="AC178" s="78"/>
      <c r="AD178" s="78"/>
      <c r="AE178" s="78"/>
      <c r="AI178" s="78"/>
      <c r="AJ178" s="327"/>
      <c r="AK178" s="78"/>
      <c r="AL178" s="327"/>
      <c r="AM178" s="78"/>
      <c r="AN178" s="327"/>
      <c r="AO178" s="78"/>
      <c r="AS178" s="78"/>
      <c r="AT178" s="327"/>
      <c r="AU178" s="78"/>
      <c r="AV178" s="327"/>
      <c r="AW178" s="78"/>
      <c r="AX178" s="327"/>
      <c r="AY178" s="78"/>
      <c r="AZ178" s="327"/>
      <c r="BF178" s="59"/>
      <c r="BJ178" s="59"/>
      <c r="BN178" s="59"/>
      <c r="BR178" s="59"/>
      <c r="BV178" s="59"/>
      <c r="BZ178" s="59"/>
      <c r="CD178" s="59"/>
      <c r="CH178" s="59"/>
      <c r="CL178" s="59"/>
      <c r="CP178" s="59"/>
    </row>
    <row r="179" spans="1:94" ht="30.95" customHeight="1" outlineLevel="1" x14ac:dyDescent="0.25">
      <c r="A179" s="36"/>
      <c r="B179" s="10"/>
      <c r="F179" s="359" t="s">
        <v>376</v>
      </c>
      <c r="G179" s="359"/>
      <c r="H179" s="359"/>
      <c r="I179" s="359"/>
      <c r="J179" s="359"/>
      <c r="K179" s="359"/>
      <c r="L179" s="359"/>
      <c r="M179" s="359"/>
      <c r="N179" s="359"/>
      <c r="O179" s="359"/>
      <c r="P179" s="359"/>
      <c r="Q179" s="359"/>
      <c r="R179" s="359"/>
      <c r="S179" s="359"/>
      <c r="T179" s="359"/>
      <c r="U179" s="359"/>
      <c r="V179" s="359"/>
      <c r="W179" s="359"/>
      <c r="X179" s="359"/>
      <c r="Y179" s="359"/>
      <c r="Z179" s="359"/>
      <c r="AA179" s="359"/>
      <c r="AB179" s="359"/>
      <c r="AC179" s="359"/>
      <c r="AD179" s="359"/>
      <c r="AE179" s="78"/>
      <c r="AF179" s="333"/>
      <c r="AG179" s="182"/>
      <c r="AH179" s="333"/>
      <c r="AI179" s="182"/>
      <c r="AJ179" s="333"/>
      <c r="AK179" s="182"/>
      <c r="AL179" s="333"/>
      <c r="AM179" s="78"/>
      <c r="AN179" s="327"/>
      <c r="AO179" s="78"/>
      <c r="AP179" s="333"/>
      <c r="AQ179" s="182"/>
      <c r="AR179" s="333"/>
      <c r="AS179" s="182"/>
      <c r="AT179" s="333"/>
      <c r="AU179" s="182"/>
      <c r="AV179" s="333"/>
      <c r="AW179" s="78"/>
      <c r="AX179" s="327"/>
      <c r="AY179" s="78"/>
      <c r="AZ179" s="327"/>
      <c r="BF179" s="59"/>
      <c r="BJ179" s="59"/>
      <c r="BN179" s="59"/>
      <c r="BR179" s="59"/>
      <c r="BV179" s="59"/>
      <c r="BZ179" s="59"/>
      <c r="CD179" s="59"/>
      <c r="CH179" s="59"/>
      <c r="CL179" s="59"/>
      <c r="CP179" s="59"/>
    </row>
    <row r="180" spans="1:94" outlineLevel="1" x14ac:dyDescent="0.25">
      <c r="A180" s="36" t="s">
        <v>233</v>
      </c>
      <c r="B180" s="10"/>
      <c r="D180" s="77" t="s">
        <v>94</v>
      </c>
      <c r="F180" s="69"/>
      <c r="J180" s="78">
        <v>0</v>
      </c>
      <c r="L180" s="78">
        <v>0</v>
      </c>
      <c r="M180" s="44"/>
      <c r="N180" s="78">
        <v>0</v>
      </c>
      <c r="O180" s="44"/>
      <c r="P180" s="78">
        <v>0</v>
      </c>
      <c r="Q180" s="44"/>
      <c r="R180" s="78">
        <v>0</v>
      </c>
      <c r="S180" s="78"/>
      <c r="T180" s="78">
        <v>0</v>
      </c>
      <c r="V180" s="78">
        <v>0</v>
      </c>
      <c r="W180" s="44"/>
      <c r="X180" s="78">
        <v>0</v>
      </c>
      <c r="Y180" s="44"/>
      <c r="Z180" s="78">
        <v>0</v>
      </c>
      <c r="AA180" s="44"/>
      <c r="AB180" s="78">
        <v>0</v>
      </c>
      <c r="AC180" s="78"/>
      <c r="AD180" s="78">
        <f>J180+L180+N180+P180+R180+T180+V180+X180+Z180+AB180</f>
        <v>0</v>
      </c>
      <c r="AE180" s="78"/>
      <c r="AF180" s="327">
        <v>0</v>
      </c>
      <c r="AH180" s="327">
        <v>0</v>
      </c>
      <c r="AI180" s="44"/>
      <c r="AJ180" s="327">
        <v>0</v>
      </c>
      <c r="AK180" s="44"/>
      <c r="AL180" s="327">
        <v>0</v>
      </c>
      <c r="AM180" s="44"/>
      <c r="AN180" s="327">
        <v>0</v>
      </c>
      <c r="AO180" s="78"/>
      <c r="AP180" s="327">
        <v>0</v>
      </c>
      <c r="AR180" s="327">
        <v>0</v>
      </c>
      <c r="AS180" s="44"/>
      <c r="AT180" s="327">
        <v>0</v>
      </c>
      <c r="AU180" s="44"/>
      <c r="AV180" s="327">
        <v>0</v>
      </c>
      <c r="AW180" s="44"/>
      <c r="AX180" s="327">
        <v>0</v>
      </c>
      <c r="AY180" s="78"/>
      <c r="AZ180" s="327">
        <f>AF180+AH180+AJ180+AL180+AN180+AP180+AR180+AT180+AV180+AX180</f>
        <v>0</v>
      </c>
      <c r="BE180" s="72"/>
      <c r="BF180" s="59"/>
      <c r="BJ180" s="59"/>
      <c r="BN180" s="59"/>
      <c r="BR180" s="59"/>
      <c r="BV180" s="59"/>
      <c r="BZ180" s="59"/>
      <c r="CD180" s="59"/>
      <c r="CH180" s="59"/>
      <c r="CL180" s="59"/>
      <c r="CP180" s="59"/>
    </row>
    <row r="181" spans="1:94" outlineLevel="1" x14ac:dyDescent="0.25">
      <c r="A181" s="36" t="s">
        <v>233</v>
      </c>
      <c r="B181" s="10"/>
      <c r="D181" s="77" t="s">
        <v>95</v>
      </c>
      <c r="F181" s="69"/>
      <c r="G181" s="69"/>
      <c r="J181" s="78">
        <v>0</v>
      </c>
      <c r="L181" s="78">
        <v>0</v>
      </c>
      <c r="M181" s="44"/>
      <c r="N181" s="78">
        <v>0</v>
      </c>
      <c r="O181" s="44"/>
      <c r="P181" s="78">
        <v>0</v>
      </c>
      <c r="Q181" s="44"/>
      <c r="R181" s="78">
        <v>0</v>
      </c>
      <c r="S181" s="78"/>
      <c r="T181" s="78">
        <v>0</v>
      </c>
      <c r="V181" s="78">
        <v>0</v>
      </c>
      <c r="W181" s="44"/>
      <c r="X181" s="78">
        <v>0</v>
      </c>
      <c r="Y181" s="44"/>
      <c r="Z181" s="78">
        <v>0</v>
      </c>
      <c r="AA181" s="44"/>
      <c r="AB181" s="78">
        <v>0</v>
      </c>
      <c r="AC181" s="78"/>
      <c r="AD181" s="78">
        <f>J181+L181+N181+P181+R181+T181+V181+X181+Z181+AB181</f>
        <v>0</v>
      </c>
      <c r="AE181" s="78"/>
      <c r="AF181" s="327">
        <v>0</v>
      </c>
      <c r="AH181" s="327">
        <v>0</v>
      </c>
      <c r="AI181" s="44"/>
      <c r="AJ181" s="327">
        <v>0</v>
      </c>
      <c r="AK181" s="44"/>
      <c r="AL181" s="327">
        <v>0</v>
      </c>
      <c r="AM181" s="44"/>
      <c r="AN181" s="327">
        <v>0</v>
      </c>
      <c r="AO181" s="78"/>
      <c r="AP181" s="327">
        <v>0</v>
      </c>
      <c r="AR181" s="327">
        <v>0</v>
      </c>
      <c r="AS181" s="44"/>
      <c r="AT181" s="327">
        <v>0</v>
      </c>
      <c r="AU181" s="44"/>
      <c r="AV181" s="327">
        <v>0</v>
      </c>
      <c r="AW181" s="44"/>
      <c r="AX181" s="327">
        <v>0</v>
      </c>
      <c r="AY181" s="78"/>
      <c r="AZ181" s="327">
        <f>AF181+AH181+AJ181+AL181+AN181+AP181+AR181+AT181+AV181+AX181</f>
        <v>0</v>
      </c>
      <c r="BF181" s="59"/>
      <c r="BJ181" s="59"/>
      <c r="BN181" s="59"/>
      <c r="BR181" s="59"/>
      <c r="BV181" s="59"/>
      <c r="BZ181" s="59"/>
      <c r="CD181" s="59"/>
      <c r="CH181" s="59"/>
      <c r="CL181" s="59"/>
      <c r="CP181" s="59"/>
    </row>
    <row r="182" spans="1:94" outlineLevel="1" x14ac:dyDescent="0.25">
      <c r="A182" s="36" t="s">
        <v>233</v>
      </c>
      <c r="B182" s="10"/>
      <c r="D182" s="77" t="s">
        <v>59</v>
      </c>
      <c r="F182" s="69"/>
      <c r="G182" s="69"/>
      <c r="J182" s="78">
        <v>0</v>
      </c>
      <c r="L182" s="78">
        <v>0</v>
      </c>
      <c r="M182" s="78"/>
      <c r="N182" s="78">
        <v>0</v>
      </c>
      <c r="O182" s="78"/>
      <c r="P182" s="78">
        <v>0</v>
      </c>
      <c r="Q182" s="78"/>
      <c r="R182" s="78">
        <v>0</v>
      </c>
      <c r="S182" s="78"/>
      <c r="T182" s="78">
        <v>0</v>
      </c>
      <c r="V182" s="78">
        <v>0</v>
      </c>
      <c r="W182" s="78"/>
      <c r="X182" s="78">
        <v>0</v>
      </c>
      <c r="Y182" s="78"/>
      <c r="Z182" s="78">
        <v>0</v>
      </c>
      <c r="AA182" s="78"/>
      <c r="AB182" s="78">
        <v>0</v>
      </c>
      <c r="AC182" s="78"/>
      <c r="AD182" s="78">
        <f>J182+L182+N182+P182+R182+T182+V182+X182+Z182+AB182</f>
        <v>0</v>
      </c>
      <c r="AE182" s="78"/>
      <c r="AF182" s="327">
        <v>0</v>
      </c>
      <c r="AH182" s="327">
        <v>0</v>
      </c>
      <c r="AI182" s="78"/>
      <c r="AJ182" s="327">
        <v>0</v>
      </c>
      <c r="AK182" s="78"/>
      <c r="AL182" s="327">
        <v>0</v>
      </c>
      <c r="AM182" s="78"/>
      <c r="AN182" s="327">
        <v>0</v>
      </c>
      <c r="AO182" s="78"/>
      <c r="AP182" s="327">
        <v>0</v>
      </c>
      <c r="AR182" s="327">
        <v>0</v>
      </c>
      <c r="AS182" s="78"/>
      <c r="AT182" s="327">
        <v>0</v>
      </c>
      <c r="AU182" s="78"/>
      <c r="AV182" s="327">
        <v>0</v>
      </c>
      <c r="AW182" s="78"/>
      <c r="AX182" s="327">
        <v>0</v>
      </c>
      <c r="AY182" s="78"/>
      <c r="AZ182" s="327">
        <f>AF182+AH182+AJ182+AL182+AN182+AP182+AR182+AT182+AV182+AX182</f>
        <v>0</v>
      </c>
      <c r="BF182" s="59"/>
      <c r="BJ182" s="59"/>
      <c r="BN182" s="59"/>
      <c r="BR182" s="59"/>
      <c r="BV182" s="59"/>
      <c r="BZ182" s="59"/>
      <c r="CD182" s="59"/>
      <c r="CH182" s="59"/>
      <c r="CL182" s="59"/>
      <c r="CP182" s="59"/>
    </row>
    <row r="183" spans="1:94" x14ac:dyDescent="0.25">
      <c r="A183" s="36"/>
      <c r="B183" s="10"/>
      <c r="C183" s="77" t="s">
        <v>12</v>
      </c>
      <c r="F183" s="26"/>
      <c r="G183" s="26"/>
      <c r="H183" s="27"/>
      <c r="I183" s="27"/>
      <c r="M183" s="44"/>
      <c r="N183" s="78"/>
      <c r="O183" s="44"/>
      <c r="P183" s="78"/>
      <c r="Q183" s="44"/>
      <c r="R183" s="78"/>
      <c r="S183" s="44"/>
      <c r="W183" s="44"/>
      <c r="X183" s="78"/>
      <c r="Y183" s="44"/>
      <c r="Z183" s="78"/>
      <c r="AA183" s="44"/>
      <c r="AB183" s="78"/>
      <c r="AC183" s="78"/>
      <c r="AD183" s="78"/>
      <c r="AE183" s="78"/>
      <c r="AI183" s="44"/>
      <c r="AJ183" s="327"/>
      <c r="AK183" s="44"/>
      <c r="AL183" s="327"/>
      <c r="AM183" s="44"/>
      <c r="AN183" s="327"/>
      <c r="AO183" s="44"/>
      <c r="AS183" s="44"/>
      <c r="AT183" s="327"/>
      <c r="AU183" s="44"/>
      <c r="AV183" s="327"/>
      <c r="AW183" s="44"/>
      <c r="AX183" s="327"/>
      <c r="AY183" s="78"/>
      <c r="AZ183" s="327"/>
      <c r="BF183" s="59"/>
      <c r="BJ183" s="59"/>
      <c r="BN183" s="59"/>
      <c r="BR183" s="59"/>
      <c r="BV183" s="59"/>
      <c r="BZ183" s="59"/>
      <c r="CD183" s="59"/>
      <c r="CH183" s="59"/>
      <c r="CL183" s="59"/>
      <c r="CP183" s="59"/>
    </row>
    <row r="184" spans="1:94" outlineLevel="1" x14ac:dyDescent="0.25">
      <c r="A184" s="36" t="s">
        <v>12</v>
      </c>
      <c r="B184" s="10"/>
      <c r="D184" s="77" t="s">
        <v>96</v>
      </c>
      <c r="F184" s="26"/>
      <c r="G184" s="26"/>
      <c r="H184" s="27"/>
      <c r="I184" s="27"/>
      <c r="J184" s="78">
        <v>0</v>
      </c>
      <c r="L184" s="78">
        <v>0</v>
      </c>
      <c r="M184" s="44"/>
      <c r="N184" s="78">
        <v>0</v>
      </c>
      <c r="O184" s="44"/>
      <c r="P184" s="78">
        <v>0</v>
      </c>
      <c r="Q184" s="44"/>
      <c r="R184" s="78">
        <v>0</v>
      </c>
      <c r="S184" s="44"/>
      <c r="T184" s="78">
        <v>0</v>
      </c>
      <c r="V184" s="78">
        <v>0</v>
      </c>
      <c r="W184" s="44"/>
      <c r="X184" s="78">
        <v>0</v>
      </c>
      <c r="Y184" s="44"/>
      <c r="Z184" s="78">
        <v>0</v>
      </c>
      <c r="AA184" s="44"/>
      <c r="AB184" s="78">
        <v>0</v>
      </c>
      <c r="AC184" s="78"/>
      <c r="AD184" s="78">
        <f t="shared" ref="AD184:AD188" si="36">J184+L184+N184+P184+R184+T184+V184+X184+Z184+AB184</f>
        <v>0</v>
      </c>
      <c r="AE184" s="78"/>
      <c r="AF184" s="327">
        <v>0</v>
      </c>
      <c r="AH184" s="327">
        <v>0</v>
      </c>
      <c r="AI184" s="44"/>
      <c r="AJ184" s="327">
        <v>0</v>
      </c>
      <c r="AK184" s="44"/>
      <c r="AL184" s="327">
        <v>0</v>
      </c>
      <c r="AM184" s="44"/>
      <c r="AN184" s="327">
        <v>0</v>
      </c>
      <c r="AO184" s="44"/>
      <c r="AP184" s="327">
        <v>0</v>
      </c>
      <c r="AR184" s="327">
        <v>0</v>
      </c>
      <c r="AS184" s="44"/>
      <c r="AT184" s="327">
        <v>0</v>
      </c>
      <c r="AU184" s="44"/>
      <c r="AV184" s="327">
        <v>0</v>
      </c>
      <c r="AW184" s="44"/>
      <c r="AX184" s="327">
        <v>0</v>
      </c>
      <c r="AY184" s="78"/>
      <c r="AZ184" s="327">
        <f t="shared" ref="AZ184:AZ190" si="37">AF184+AH184+AJ184+AL184+AN184+AP184+AR184+AT184+AV184+AX184</f>
        <v>0</v>
      </c>
      <c r="BF184" s="59"/>
      <c r="BJ184" s="59"/>
      <c r="BN184" s="59"/>
      <c r="BR184" s="59"/>
      <c r="BV184" s="59"/>
      <c r="BZ184" s="59"/>
      <c r="CD184" s="59"/>
      <c r="CH184" s="59"/>
      <c r="CL184" s="59"/>
      <c r="CP184" s="59"/>
    </row>
    <row r="185" spans="1:94" outlineLevel="1" x14ac:dyDescent="0.25">
      <c r="A185" s="36" t="s">
        <v>12</v>
      </c>
      <c r="B185" s="10"/>
      <c r="C185" s="13"/>
      <c r="D185" s="77" t="s">
        <v>267</v>
      </c>
      <c r="J185" s="78">
        <v>0</v>
      </c>
      <c r="L185" s="78">
        <v>0</v>
      </c>
      <c r="M185" s="44"/>
      <c r="N185" s="78">
        <v>0</v>
      </c>
      <c r="O185" s="44"/>
      <c r="P185" s="78">
        <v>0</v>
      </c>
      <c r="Q185" s="44"/>
      <c r="R185" s="78">
        <v>0</v>
      </c>
      <c r="S185" s="78"/>
      <c r="T185" s="78">
        <v>0</v>
      </c>
      <c r="V185" s="78">
        <v>0</v>
      </c>
      <c r="W185" s="44"/>
      <c r="X185" s="78">
        <v>0</v>
      </c>
      <c r="Y185" s="44"/>
      <c r="Z185" s="78">
        <v>0</v>
      </c>
      <c r="AA185" s="44"/>
      <c r="AB185" s="78">
        <v>0</v>
      </c>
      <c r="AC185" s="78"/>
      <c r="AD185" s="78">
        <f t="shared" si="36"/>
        <v>0</v>
      </c>
      <c r="AE185" s="78"/>
      <c r="AF185" s="327">
        <v>0</v>
      </c>
      <c r="AH185" s="327">
        <v>0</v>
      </c>
      <c r="AI185" s="44"/>
      <c r="AJ185" s="327">
        <v>0</v>
      </c>
      <c r="AK185" s="44"/>
      <c r="AL185" s="327">
        <v>0</v>
      </c>
      <c r="AM185" s="44"/>
      <c r="AN185" s="327">
        <v>0</v>
      </c>
      <c r="AO185" s="78"/>
      <c r="AP185" s="327">
        <v>0</v>
      </c>
      <c r="AR185" s="327">
        <v>0</v>
      </c>
      <c r="AS185" s="44"/>
      <c r="AT185" s="327">
        <v>0</v>
      </c>
      <c r="AU185" s="44"/>
      <c r="AV185" s="327">
        <v>0</v>
      </c>
      <c r="AW185" s="44"/>
      <c r="AX185" s="327">
        <v>0</v>
      </c>
      <c r="AY185" s="78"/>
      <c r="AZ185" s="327">
        <f t="shared" si="37"/>
        <v>0</v>
      </c>
      <c r="BF185" s="59"/>
      <c r="BJ185" s="59"/>
      <c r="BN185" s="59"/>
      <c r="BR185" s="59"/>
      <c r="BV185" s="59"/>
      <c r="BZ185" s="59"/>
      <c r="CD185" s="59"/>
      <c r="CH185" s="59"/>
      <c r="CL185" s="59"/>
      <c r="CP185" s="59"/>
    </row>
    <row r="186" spans="1:94" outlineLevel="1" x14ac:dyDescent="0.25">
      <c r="A186" s="36" t="s">
        <v>12</v>
      </c>
      <c r="B186" s="13"/>
      <c r="C186" s="13"/>
      <c r="D186" s="13" t="s">
        <v>268</v>
      </c>
      <c r="E186" s="13"/>
      <c r="H186" s="13"/>
      <c r="I186" s="13"/>
      <c r="J186" s="78">
        <v>0</v>
      </c>
      <c r="L186" s="78">
        <v>0</v>
      </c>
      <c r="M186" s="44"/>
      <c r="N186" s="78">
        <v>0</v>
      </c>
      <c r="O186" s="44"/>
      <c r="P186" s="78">
        <v>0</v>
      </c>
      <c r="Q186" s="44"/>
      <c r="R186" s="78">
        <v>0</v>
      </c>
      <c r="S186" s="78"/>
      <c r="T186" s="78">
        <v>0</v>
      </c>
      <c r="V186" s="78">
        <v>0</v>
      </c>
      <c r="W186" s="44"/>
      <c r="X186" s="78">
        <v>0</v>
      </c>
      <c r="Y186" s="44"/>
      <c r="Z186" s="78">
        <v>0</v>
      </c>
      <c r="AA186" s="44"/>
      <c r="AB186" s="78">
        <v>0</v>
      </c>
      <c r="AC186" s="78"/>
      <c r="AD186" s="78">
        <f t="shared" si="36"/>
        <v>0</v>
      </c>
      <c r="AE186" s="78"/>
      <c r="AF186" s="327">
        <v>0</v>
      </c>
      <c r="AH186" s="327">
        <v>0</v>
      </c>
      <c r="AI186" s="44"/>
      <c r="AJ186" s="327">
        <v>0</v>
      </c>
      <c r="AK186" s="44"/>
      <c r="AL186" s="327">
        <v>0</v>
      </c>
      <c r="AM186" s="44"/>
      <c r="AN186" s="327">
        <v>0</v>
      </c>
      <c r="AO186" s="78"/>
      <c r="AP186" s="327">
        <v>0</v>
      </c>
      <c r="AR186" s="327">
        <v>0</v>
      </c>
      <c r="AS186" s="44"/>
      <c r="AT186" s="327">
        <v>0</v>
      </c>
      <c r="AU186" s="44"/>
      <c r="AV186" s="327">
        <v>0</v>
      </c>
      <c r="AW186" s="44"/>
      <c r="AX186" s="327">
        <v>0</v>
      </c>
      <c r="AY186" s="78"/>
      <c r="AZ186" s="327">
        <f t="shared" si="37"/>
        <v>0</v>
      </c>
      <c r="BA186" s="44"/>
      <c r="BF186" s="59"/>
      <c r="BJ186" s="59"/>
      <c r="BN186" s="59"/>
      <c r="BR186" s="59"/>
      <c r="BV186" s="59"/>
      <c r="BZ186" s="59"/>
      <c r="CD186" s="59"/>
      <c r="CH186" s="59"/>
      <c r="CL186" s="59"/>
      <c r="CP186" s="59"/>
    </row>
    <row r="187" spans="1:94" outlineLevel="1" x14ac:dyDescent="0.25">
      <c r="A187" s="36" t="s">
        <v>12</v>
      </c>
      <c r="B187" s="10"/>
      <c r="C187" s="13"/>
      <c r="D187" s="77" t="s">
        <v>274</v>
      </c>
      <c r="F187" s="191" t="s">
        <v>72</v>
      </c>
      <c r="G187" s="71" t="s">
        <v>82</v>
      </c>
      <c r="H187" s="71" t="s">
        <v>71</v>
      </c>
      <c r="I187" s="13"/>
      <c r="J187" s="44">
        <f>IF(ISNUMBER(F187)*ISNUMBER(H187),F187*G187*H187,0)</f>
        <v>0</v>
      </c>
      <c r="L187" s="78">
        <f>IF($BD$15&lt;2,0, IF($BD$100="Yes", (J187)*(1+$BD$10),(J187)))</f>
        <v>0</v>
      </c>
      <c r="M187" s="44"/>
      <c r="N187" s="78">
        <f>IF($BD$15&lt;3,0, IF($BD$100="Yes", (L187)*(1+$BD$10),(L187)))</f>
        <v>0</v>
      </c>
      <c r="O187" s="44"/>
      <c r="P187" s="78">
        <f>IF($BD$15&lt;4,0, IF($BD$100="Yes", (N187)*(1+$BD$10),(N187)))</f>
        <v>0</v>
      </c>
      <c r="Q187" s="44"/>
      <c r="R187" s="78">
        <f>IF($BD$15&lt;5,0, IF($BD$100="Yes", (P187)*(1+$BD$10),(P187)))</f>
        <v>0</v>
      </c>
      <c r="S187" s="78"/>
      <c r="T187" s="78">
        <f>IF($BD$15&lt;6,0, IF($BD$100="Yes", (R187)*(1+$BD$10),(R187)))</f>
        <v>0</v>
      </c>
      <c r="V187" s="78">
        <f>IF($BD$15&lt;7,0, IF($BD$100="Yes", (T187)*(1+$BD$10),(T187)))</f>
        <v>0</v>
      </c>
      <c r="W187" s="44"/>
      <c r="X187" s="78">
        <f>IF($BD$15&lt;8,0, IF($BD$100="Yes", (V187)*(1+$BD$10),(V187)))</f>
        <v>0</v>
      </c>
      <c r="Y187" s="44"/>
      <c r="Z187" s="78">
        <f>IF($BD$15&lt;9,0, IF($BD$100="Yes", (X187)*(1+$BD$10),(X187)))</f>
        <v>0</v>
      </c>
      <c r="AA187" s="44"/>
      <c r="AB187" s="78">
        <f>IF($BD$15&lt;10,0, IF($BD$100="Yes", (Z187)*(1+$BD$10),(Z187)))</f>
        <v>0</v>
      </c>
      <c r="AC187" s="78"/>
      <c r="AD187" s="78">
        <f t="shared" si="36"/>
        <v>0</v>
      </c>
      <c r="AE187" s="78"/>
      <c r="AF187" s="89">
        <v>0</v>
      </c>
      <c r="AH187" s="327">
        <v>0</v>
      </c>
      <c r="AI187" s="44"/>
      <c r="AJ187" s="327">
        <v>0</v>
      </c>
      <c r="AK187" s="44"/>
      <c r="AL187" s="327">
        <v>0</v>
      </c>
      <c r="AM187" s="44"/>
      <c r="AN187" s="327">
        <v>0</v>
      </c>
      <c r="AO187" s="78"/>
      <c r="AP187" s="44">
        <v>0</v>
      </c>
      <c r="AR187" s="78">
        <v>0</v>
      </c>
      <c r="AS187" s="44"/>
      <c r="AT187" s="78">
        <v>0</v>
      </c>
      <c r="AU187" s="44"/>
      <c r="AV187" s="78">
        <v>0</v>
      </c>
      <c r="AW187" s="44"/>
      <c r="AX187" s="78">
        <v>0</v>
      </c>
      <c r="AY187" s="78"/>
      <c r="AZ187" s="327">
        <f t="shared" si="37"/>
        <v>0</v>
      </c>
      <c r="BF187" s="59"/>
      <c r="BJ187" s="59"/>
      <c r="BN187" s="59"/>
      <c r="BR187" s="59"/>
      <c r="BV187" s="59"/>
      <c r="BZ187" s="59"/>
      <c r="CD187" s="59"/>
      <c r="CH187" s="59"/>
      <c r="CL187" s="59"/>
      <c r="CP187" s="59"/>
    </row>
    <row r="188" spans="1:94" outlineLevel="1" x14ac:dyDescent="0.25">
      <c r="A188" s="36" t="s">
        <v>12</v>
      </c>
      <c r="B188" s="13"/>
      <c r="C188" s="13"/>
      <c r="D188" s="13" t="s">
        <v>269</v>
      </c>
      <c r="E188" s="13"/>
      <c r="H188" s="13"/>
      <c r="I188" s="13"/>
      <c r="J188" s="78">
        <v>0</v>
      </c>
      <c r="L188" s="78">
        <v>0</v>
      </c>
      <c r="M188" s="44"/>
      <c r="N188" s="78">
        <v>0</v>
      </c>
      <c r="O188" s="44"/>
      <c r="P188" s="78">
        <v>0</v>
      </c>
      <c r="Q188" s="44"/>
      <c r="R188" s="78">
        <v>0</v>
      </c>
      <c r="S188" s="78"/>
      <c r="T188" s="78">
        <v>0</v>
      </c>
      <c r="V188" s="78">
        <v>0</v>
      </c>
      <c r="W188" s="44"/>
      <c r="X188" s="78">
        <v>0</v>
      </c>
      <c r="Y188" s="44"/>
      <c r="Z188" s="78">
        <v>0</v>
      </c>
      <c r="AA188" s="44"/>
      <c r="AB188" s="78">
        <v>0</v>
      </c>
      <c r="AC188" s="78"/>
      <c r="AD188" s="78">
        <f t="shared" si="36"/>
        <v>0</v>
      </c>
      <c r="AE188" s="78"/>
      <c r="AF188" s="327">
        <v>0</v>
      </c>
      <c r="AH188" s="327">
        <v>0</v>
      </c>
      <c r="AI188" s="44"/>
      <c r="AJ188" s="327">
        <v>0</v>
      </c>
      <c r="AK188" s="44"/>
      <c r="AL188" s="327">
        <v>0</v>
      </c>
      <c r="AM188" s="44"/>
      <c r="AN188" s="327">
        <v>0</v>
      </c>
      <c r="AO188" s="78"/>
      <c r="AP188" s="327">
        <v>0</v>
      </c>
      <c r="AR188" s="327">
        <v>0</v>
      </c>
      <c r="AS188" s="44"/>
      <c r="AT188" s="327">
        <v>0</v>
      </c>
      <c r="AU188" s="44"/>
      <c r="AV188" s="327">
        <v>0</v>
      </c>
      <c r="AW188" s="44"/>
      <c r="AX188" s="327">
        <v>0</v>
      </c>
      <c r="AY188" s="78"/>
      <c r="AZ188" s="327">
        <f t="shared" si="37"/>
        <v>0</v>
      </c>
      <c r="BA188" s="44"/>
      <c r="BF188" s="59"/>
      <c r="BJ188" s="59"/>
      <c r="BN188" s="59"/>
      <c r="BR188" s="59"/>
      <c r="BV188" s="59"/>
      <c r="BZ188" s="59"/>
      <c r="CD188" s="59"/>
      <c r="CH188" s="59"/>
      <c r="CL188" s="59"/>
      <c r="CP188" s="59"/>
    </row>
    <row r="189" spans="1:94" x14ac:dyDescent="0.25">
      <c r="A189" s="36" t="s">
        <v>55</v>
      </c>
      <c r="B189" s="10"/>
      <c r="C189" s="13"/>
      <c r="D189" s="77" t="s">
        <v>270</v>
      </c>
      <c r="F189" s="67"/>
      <c r="G189" s="71" t="s">
        <v>82</v>
      </c>
      <c r="H189" s="71" t="s">
        <v>367</v>
      </c>
      <c r="I189" s="178">
        <f>IF(BD14="Yes",F189*(1+BD7),F189)</f>
        <v>0</v>
      </c>
      <c r="J189" s="78">
        <f>IFERROR(F189*G189*H189, 0)</f>
        <v>0</v>
      </c>
      <c r="L189" s="78">
        <f>IF($BD$15=1,0,J189*(1+$BD$9))</f>
        <v>0</v>
      </c>
      <c r="M189" s="78"/>
      <c r="N189" s="78">
        <f>IF($BD$15=2,0,L189*(1+$BD$9))</f>
        <v>0</v>
      </c>
      <c r="O189" s="78"/>
      <c r="P189" s="78">
        <f>IF($BD$15=3,0,N189*(1+$BD$9))</f>
        <v>0</v>
      </c>
      <c r="Q189" s="78"/>
      <c r="R189" s="78">
        <f>IF($BD$15=4,0,P189*(1+$BD$9))</f>
        <v>0</v>
      </c>
      <c r="S189" s="78"/>
      <c r="T189" s="78">
        <f>IF($BD$15=5,0,R189*(1+$BD$9))</f>
        <v>0</v>
      </c>
      <c r="V189" s="78">
        <f>IF($BD$15=6,0,T189*(1+$BD$9))</f>
        <v>0</v>
      </c>
      <c r="W189" s="78"/>
      <c r="X189" s="78">
        <f>IF($BD$15=7,0,V189*(1+$BD$9))</f>
        <v>0</v>
      </c>
      <c r="Y189" s="78"/>
      <c r="Z189" s="78">
        <f>IF($BD$15=8,0,X189*(1+$BD$9))</f>
        <v>0</v>
      </c>
      <c r="AA189" s="78"/>
      <c r="AB189" s="78">
        <f>IF($BD$15=9,0,Z189*(1+$BD$9))</f>
        <v>0</v>
      </c>
      <c r="AC189" s="78"/>
      <c r="AD189" s="78">
        <f>J189+L189+N189+P189+R189+T189+V189+X189+Z189+AB189</f>
        <v>0</v>
      </c>
      <c r="AE189" s="78"/>
      <c r="AF189" s="327">
        <v>0</v>
      </c>
      <c r="AH189" s="327">
        <v>0</v>
      </c>
      <c r="AI189" s="78"/>
      <c r="AJ189" s="327">
        <v>0</v>
      </c>
      <c r="AK189" s="78"/>
      <c r="AL189" s="327">
        <v>0</v>
      </c>
      <c r="AM189" s="78"/>
      <c r="AN189" s="327">
        <v>0</v>
      </c>
      <c r="AO189" s="78"/>
      <c r="AP189" s="327">
        <v>0</v>
      </c>
      <c r="AR189" s="327">
        <v>0</v>
      </c>
      <c r="AS189" s="78"/>
      <c r="AT189" s="327">
        <v>0</v>
      </c>
      <c r="AU189" s="78"/>
      <c r="AV189" s="327">
        <v>0</v>
      </c>
      <c r="AW189" s="78"/>
      <c r="AX189" s="327">
        <v>0</v>
      </c>
      <c r="AY189" s="78"/>
      <c r="AZ189" s="327">
        <f t="shared" ref="AZ189" si="38">AF189+AH189+AJ189+AL189+AN189+AP189+AR189+AT189+AV189+AX189</f>
        <v>0</v>
      </c>
      <c r="BF189" s="59"/>
      <c r="BJ189" s="59"/>
      <c r="BN189" s="59"/>
      <c r="BR189" s="59"/>
      <c r="BV189" s="59"/>
      <c r="BZ189" s="59"/>
      <c r="CD189" s="59"/>
      <c r="CH189" s="59"/>
      <c r="CL189" s="59"/>
      <c r="CP189" s="59"/>
    </row>
    <row r="190" spans="1:94" x14ac:dyDescent="0.25">
      <c r="A190" s="36" t="s">
        <v>55</v>
      </c>
      <c r="B190" s="10"/>
      <c r="C190" s="13"/>
      <c r="D190" s="77" t="s">
        <v>371</v>
      </c>
      <c r="F190" s="67"/>
      <c r="G190" s="71" t="s">
        <v>82</v>
      </c>
      <c r="H190" s="71" t="s">
        <v>367</v>
      </c>
      <c r="I190" s="178">
        <f>IF(BD16="Yes",F190*(1+BD9),F190)</f>
        <v>0</v>
      </c>
      <c r="J190" s="78">
        <f>IFERROR(F190*G190*H190, 0)</f>
        <v>0</v>
      </c>
      <c r="L190" s="78">
        <f>IF($BD$15=1,0,J190*(1+$BD$9))</f>
        <v>0</v>
      </c>
      <c r="M190" s="78"/>
      <c r="N190" s="78">
        <f>IF($BD$15=2,0,L190*(1+$BD$9))</f>
        <v>0</v>
      </c>
      <c r="O190" s="78"/>
      <c r="P190" s="78">
        <f>IF($BD$15=3,0,N190*(1+$BD$9))</f>
        <v>0</v>
      </c>
      <c r="Q190" s="78"/>
      <c r="R190" s="78">
        <f>IF($BD$15=4,0,P190*(1+$BD$9))</f>
        <v>0</v>
      </c>
      <c r="S190" s="78"/>
      <c r="T190" s="78">
        <f>IF($BD$15=5,0,R190*(1+$BD$9))</f>
        <v>0</v>
      </c>
      <c r="V190" s="78">
        <f>IF($BD$15=6,0,T190*(1+$BD$9))</f>
        <v>0</v>
      </c>
      <c r="W190" s="78"/>
      <c r="X190" s="78">
        <f>IF($BD$15=7,0,V190*(1+$BD$9))</f>
        <v>0</v>
      </c>
      <c r="Y190" s="78"/>
      <c r="Z190" s="78">
        <f>IF($BD$15=8,0,X190*(1+$BD$9))</f>
        <v>0</v>
      </c>
      <c r="AA190" s="78"/>
      <c r="AB190" s="78">
        <f>IF($BD$15=9,0,Z190*(1+$BD$9))</f>
        <v>0</v>
      </c>
      <c r="AC190" s="78"/>
      <c r="AD190" s="11">
        <f>J190+L190+N190+P190+R190+T190+V190+X190+Z190+AB190</f>
        <v>0</v>
      </c>
      <c r="AE190" s="78"/>
      <c r="AF190" s="327">
        <v>0</v>
      </c>
      <c r="AH190" s="327">
        <v>0</v>
      </c>
      <c r="AI190" s="78"/>
      <c r="AJ190" s="327">
        <v>0</v>
      </c>
      <c r="AK190" s="78"/>
      <c r="AL190" s="327">
        <v>0</v>
      </c>
      <c r="AM190" s="78"/>
      <c r="AN190" s="327">
        <v>0</v>
      </c>
      <c r="AO190" s="78"/>
      <c r="AP190" s="327">
        <v>0</v>
      </c>
      <c r="AR190" s="327">
        <v>0</v>
      </c>
      <c r="AS190" s="78"/>
      <c r="AT190" s="327">
        <v>0</v>
      </c>
      <c r="AU190" s="78"/>
      <c r="AV190" s="327">
        <v>0</v>
      </c>
      <c r="AW190" s="78"/>
      <c r="AX190" s="327">
        <v>0</v>
      </c>
      <c r="AY190" s="78"/>
      <c r="AZ190" s="338">
        <f t="shared" si="37"/>
        <v>0</v>
      </c>
      <c r="BF190" s="59"/>
      <c r="BJ190" s="59"/>
      <c r="BN190" s="59"/>
      <c r="BR190" s="59"/>
      <c r="BV190" s="59"/>
      <c r="BZ190" s="59"/>
      <c r="CD190" s="59"/>
      <c r="CH190" s="59"/>
      <c r="CL190" s="59"/>
      <c r="CP190" s="59"/>
    </row>
    <row r="191" spans="1:94" ht="9" customHeight="1" x14ac:dyDescent="0.25">
      <c r="J191" s="14"/>
      <c r="L191" s="14"/>
      <c r="M191" s="44"/>
      <c r="N191" s="75"/>
      <c r="O191" s="44"/>
      <c r="P191" s="75"/>
      <c r="Q191" s="44"/>
      <c r="R191" s="75"/>
      <c r="S191" s="44"/>
      <c r="T191" s="14"/>
      <c r="V191" s="14"/>
      <c r="W191" s="44"/>
      <c r="X191" s="75"/>
      <c r="Y191" s="44"/>
      <c r="Z191" s="75"/>
      <c r="AA191" s="44"/>
      <c r="AB191" s="75"/>
      <c r="AC191" s="44"/>
      <c r="AD191" s="78"/>
      <c r="AF191" s="330"/>
      <c r="AH191" s="330"/>
      <c r="AI191" s="44"/>
      <c r="AJ191" s="340"/>
      <c r="AK191" s="44"/>
      <c r="AL191" s="340"/>
      <c r="AM191" s="44"/>
      <c r="AN191" s="340"/>
      <c r="AO191" s="44"/>
      <c r="AP191" s="330"/>
      <c r="AR191" s="330"/>
      <c r="AS191" s="44"/>
      <c r="AT191" s="340"/>
      <c r="AU191" s="44"/>
      <c r="AV191" s="340"/>
      <c r="AW191" s="44"/>
      <c r="AX191" s="340"/>
      <c r="AY191" s="44"/>
      <c r="AZ191" s="327"/>
    </row>
    <row r="192" spans="1:94" x14ac:dyDescent="0.25">
      <c r="C192" s="77" t="s">
        <v>13</v>
      </c>
      <c r="J192" s="78">
        <f>SUM(J168:J190)</f>
        <v>0</v>
      </c>
      <c r="L192" s="78">
        <f>SUM(L168:L190)</f>
        <v>0</v>
      </c>
      <c r="M192" s="78"/>
      <c r="N192" s="78">
        <f>SUM(N168:N190)</f>
        <v>0</v>
      </c>
      <c r="O192" s="78"/>
      <c r="P192" s="78">
        <f>SUM(P168:P190)</f>
        <v>0</v>
      </c>
      <c r="Q192" s="78"/>
      <c r="R192" s="78">
        <f>SUM(R168:R190)</f>
        <v>0</v>
      </c>
      <c r="S192" s="78"/>
      <c r="T192" s="78">
        <f>SUM(T168:T190)</f>
        <v>0</v>
      </c>
      <c r="V192" s="78">
        <f>SUM(V168:V190)</f>
        <v>0</v>
      </c>
      <c r="W192" s="78"/>
      <c r="X192" s="78">
        <f>SUM(X168:X190)</f>
        <v>0</v>
      </c>
      <c r="Y192" s="78"/>
      <c r="Z192" s="78">
        <f>SUM(Z168:Z190)</f>
        <v>0</v>
      </c>
      <c r="AA192" s="78"/>
      <c r="AB192" s="78">
        <f>SUM(AB168:AB190)</f>
        <v>0</v>
      </c>
      <c r="AC192" s="78"/>
      <c r="AD192" s="78">
        <f>J192+L192+N192+P192+R192+T192+V192+X192+Z192+AB192</f>
        <v>0</v>
      </c>
      <c r="AE192" s="78"/>
      <c r="AF192" s="327">
        <f>SUM(AF168:AF190)</f>
        <v>0</v>
      </c>
      <c r="AH192" s="327">
        <f>SUM(AH168:AH190)</f>
        <v>0</v>
      </c>
      <c r="AI192" s="78"/>
      <c r="AJ192" s="327">
        <f>SUM(AJ168:AJ190)</f>
        <v>0</v>
      </c>
      <c r="AK192" s="78"/>
      <c r="AL192" s="327">
        <f>SUM(AL168:AL190)</f>
        <v>0</v>
      </c>
      <c r="AM192" s="78"/>
      <c r="AN192" s="327">
        <f>SUM(AN168:AN190)</f>
        <v>0</v>
      </c>
      <c r="AO192" s="78"/>
      <c r="AP192" s="327">
        <f>SUM(AP168:AP190)</f>
        <v>0</v>
      </c>
      <c r="AR192" s="327">
        <f>SUM(AR168:AR190)</f>
        <v>0</v>
      </c>
      <c r="AS192" s="78"/>
      <c r="AT192" s="327">
        <f>SUM(AT168:AT190)</f>
        <v>0</v>
      </c>
      <c r="AU192" s="78"/>
      <c r="AV192" s="327">
        <f>SUM(AV168:AV190)</f>
        <v>0</v>
      </c>
      <c r="AW192" s="78"/>
      <c r="AX192" s="327">
        <f>SUM(AX168:AX190)</f>
        <v>0</v>
      </c>
      <c r="AY192" s="78"/>
      <c r="AZ192" s="327">
        <f>AF192+AH192+AJ192+AL192+AN192+AP192+AR192+AT192+AV192+AX192</f>
        <v>0</v>
      </c>
    </row>
    <row r="193" spans="2:52" x14ac:dyDescent="0.25">
      <c r="M193" s="44"/>
      <c r="N193" s="44"/>
      <c r="O193" s="44"/>
      <c r="P193" s="44"/>
      <c r="Q193" s="44"/>
      <c r="R193" s="44"/>
      <c r="S193" s="44"/>
      <c r="W193" s="44"/>
      <c r="X193" s="44"/>
      <c r="Y193" s="44"/>
      <c r="Z193" s="44"/>
      <c r="AA193" s="44"/>
      <c r="AB193" s="44"/>
      <c r="AC193" s="44"/>
      <c r="AD193" s="78"/>
      <c r="AI193" s="44"/>
      <c r="AJ193" s="89"/>
      <c r="AK193" s="44"/>
      <c r="AL193" s="89"/>
      <c r="AM193" s="44"/>
      <c r="AN193" s="89"/>
      <c r="AO193" s="44"/>
      <c r="AS193" s="44"/>
      <c r="AT193" s="89"/>
      <c r="AU193" s="44"/>
      <c r="AV193" s="89"/>
      <c r="AW193" s="44"/>
      <c r="AX193" s="89"/>
      <c r="AY193" s="44"/>
      <c r="AZ193" s="327"/>
    </row>
    <row r="194" spans="2:52" x14ac:dyDescent="0.25">
      <c r="B194" s="10" t="s">
        <v>14</v>
      </c>
      <c r="C194" s="10" t="s">
        <v>15</v>
      </c>
      <c r="J194" s="9">
        <f>J66+J88+J98+J151+J165+J192</f>
        <v>0</v>
      </c>
      <c r="K194" s="9"/>
      <c r="L194" s="9">
        <f>L66+L88+L98+L151+L165+L192</f>
        <v>0</v>
      </c>
      <c r="M194" s="7"/>
      <c r="N194" s="9">
        <f>N66+N88+N98+N151+N165+N192</f>
        <v>0</v>
      </c>
      <c r="O194" s="44"/>
      <c r="P194" s="9">
        <f>P66+P88+P98+P151+P165+P192</f>
        <v>0</v>
      </c>
      <c r="Q194" s="44"/>
      <c r="R194" s="9">
        <f>R66+R88+R98+R151+R165+R192</f>
        <v>0</v>
      </c>
      <c r="S194" s="44"/>
      <c r="T194" s="9">
        <f>T66+T88+T98+T151+T165+T192</f>
        <v>0</v>
      </c>
      <c r="U194" s="9"/>
      <c r="V194" s="9">
        <f>V66+V88+V98+V151+V165+V192</f>
        <v>0</v>
      </c>
      <c r="W194" s="7"/>
      <c r="X194" s="9">
        <f>X66+X88+X98+X151+X165+X192</f>
        <v>0</v>
      </c>
      <c r="Y194" s="44"/>
      <c r="Z194" s="9">
        <f>Z66+Z88+Z98+Z151+Z165+Z192</f>
        <v>0</v>
      </c>
      <c r="AA194" s="44"/>
      <c r="AB194" s="9">
        <f>AB66+AB88+AB98+AB151+AB165+AB192</f>
        <v>0</v>
      </c>
      <c r="AC194" s="9"/>
      <c r="AD194" s="9">
        <f>J194+L194+N194+P194+R194+T194+V194+X194+Z194+AB194</f>
        <v>0</v>
      </c>
      <c r="AE194" s="9"/>
      <c r="AF194" s="334">
        <f>AF66+AF88+AF98+AF151+AF165+AF192</f>
        <v>0</v>
      </c>
      <c r="AG194" s="9"/>
      <c r="AH194" s="334">
        <f>AH66+AH88+AH98+AH151+AH165+AH192</f>
        <v>0</v>
      </c>
      <c r="AI194" s="7"/>
      <c r="AJ194" s="334">
        <f>AJ66+AJ88+AJ98+AJ151+AJ165+AJ192</f>
        <v>0</v>
      </c>
      <c r="AK194" s="44"/>
      <c r="AL194" s="334">
        <f>AL66+AL88+AL98+AL151+AL165+AL192</f>
        <v>0</v>
      </c>
      <c r="AM194" s="44"/>
      <c r="AN194" s="334">
        <f>AN66+AN88+AN98+AN151+AN165+AN192</f>
        <v>0</v>
      </c>
      <c r="AO194" s="44"/>
      <c r="AP194" s="334">
        <f>AP66+AP88+AP98+AP151+AP165+AP192</f>
        <v>0</v>
      </c>
      <c r="AQ194" s="9"/>
      <c r="AR194" s="334">
        <f>AR66+AR88+AR98+AR151+AR165+AR192</f>
        <v>0</v>
      </c>
      <c r="AS194" s="7"/>
      <c r="AT194" s="334">
        <f>AT66+AT88+AT98+AT151+AT165+AT192</f>
        <v>0</v>
      </c>
      <c r="AU194" s="44"/>
      <c r="AV194" s="334">
        <f>AV66+AV88+AV98+AV151+AV165+AV192</f>
        <v>0</v>
      </c>
      <c r="AW194" s="44"/>
      <c r="AX194" s="334">
        <f>AX66+AX88+AX98+AX151+AX165+AX192</f>
        <v>0</v>
      </c>
      <c r="AY194" s="9"/>
      <c r="AZ194" s="334">
        <f>AF194+AH194+AJ194+AL194+AN194</f>
        <v>0</v>
      </c>
    </row>
    <row r="195" spans="2:52" x14ac:dyDescent="0.25">
      <c r="C195" s="20"/>
      <c r="D195" s="20"/>
      <c r="E195" s="20"/>
      <c r="F195" s="21"/>
      <c r="G195" s="21"/>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335"/>
      <c r="AG195" s="22"/>
      <c r="AH195" s="335"/>
      <c r="AI195" s="22"/>
      <c r="AJ195" s="335"/>
      <c r="AK195" s="22"/>
      <c r="AL195" s="335"/>
      <c r="AM195" s="22"/>
      <c r="AN195" s="335"/>
      <c r="AO195" s="22"/>
      <c r="AP195" s="335"/>
      <c r="AQ195" s="22"/>
      <c r="AR195" s="335"/>
      <c r="AS195" s="22"/>
      <c r="AT195" s="335"/>
      <c r="AU195" s="22"/>
      <c r="AV195" s="335"/>
      <c r="AW195" s="22"/>
      <c r="AX195" s="335"/>
      <c r="AY195" s="22"/>
      <c r="AZ195" s="335"/>
    </row>
    <row r="197" spans="2:52" x14ac:dyDescent="0.25">
      <c r="B197" s="10" t="s">
        <v>16</v>
      </c>
      <c r="C197" s="10" t="s">
        <v>224</v>
      </c>
      <c r="H197" s="181" t="s">
        <v>260</v>
      </c>
      <c r="I197" s="182"/>
      <c r="J197" s="181">
        <f>J194-J198</f>
        <v>0</v>
      </c>
      <c r="K197" s="181"/>
      <c r="L197" s="181">
        <f>L194-L198</f>
        <v>0</v>
      </c>
      <c r="M197" s="183"/>
      <c r="N197" s="181">
        <f>N194-N198</f>
        <v>0</v>
      </c>
      <c r="O197" s="183"/>
      <c r="P197" s="181">
        <f>P194-P198</f>
        <v>0</v>
      </c>
      <c r="Q197" s="183"/>
      <c r="R197" s="181">
        <f>R194-R198</f>
        <v>0</v>
      </c>
      <c r="S197" s="183"/>
      <c r="T197" s="181">
        <f>T194-T198</f>
        <v>0</v>
      </c>
      <c r="U197" s="181"/>
      <c r="V197" s="181">
        <f>V194-V198</f>
        <v>0</v>
      </c>
      <c r="W197" s="183"/>
      <c r="X197" s="181">
        <f>X194-X198</f>
        <v>0</v>
      </c>
      <c r="Y197" s="183"/>
      <c r="Z197" s="181">
        <f>Z194-Z198</f>
        <v>0</v>
      </c>
      <c r="AA197" s="183"/>
      <c r="AB197" s="181">
        <f>AB194-AB198</f>
        <v>0</v>
      </c>
      <c r="AC197" s="181"/>
      <c r="AD197" s="181">
        <f>AD194-AD198</f>
        <v>0</v>
      </c>
      <c r="AF197" s="336">
        <f>AF194-AF198</f>
        <v>0</v>
      </c>
      <c r="AG197" s="181"/>
      <c r="AH197" s="336">
        <f>AH194-AH198</f>
        <v>0</v>
      </c>
      <c r="AI197" s="183"/>
      <c r="AJ197" s="336">
        <f>AJ194-AJ198</f>
        <v>0</v>
      </c>
      <c r="AK197" s="183"/>
      <c r="AL197" s="336">
        <f>AL194-AL198</f>
        <v>0</v>
      </c>
      <c r="AM197" s="183"/>
      <c r="AN197" s="336">
        <f>AN194-AN198</f>
        <v>0</v>
      </c>
      <c r="AO197" s="183"/>
      <c r="AP197" s="336">
        <f>AP194-AP198</f>
        <v>0</v>
      </c>
      <c r="AQ197" s="181"/>
      <c r="AR197" s="336">
        <f>AR194-AR198</f>
        <v>0</v>
      </c>
      <c r="AS197" s="183"/>
      <c r="AT197" s="336">
        <f>AT194-AT198</f>
        <v>0</v>
      </c>
      <c r="AU197" s="183"/>
      <c r="AV197" s="336">
        <f>AV194-AV198</f>
        <v>0</v>
      </c>
      <c r="AW197" s="183"/>
      <c r="AX197" s="336">
        <f>AX194-AX198</f>
        <v>0</v>
      </c>
      <c r="AY197" s="181"/>
      <c r="AZ197" s="336">
        <f>AZ194-AZ198</f>
        <v>0</v>
      </c>
    </row>
    <row r="198" spans="2:52" x14ac:dyDescent="0.25">
      <c r="B198" s="13"/>
      <c r="D198" s="36" t="s">
        <v>336</v>
      </c>
      <c r="E198" s="36" t="s">
        <v>337</v>
      </c>
      <c r="G198" s="44" t="s">
        <v>340</v>
      </c>
      <c r="H198" s="90" t="s">
        <v>88</v>
      </c>
      <c r="J198" s="318">
        <f>IF(H198="TDC",J194,(J194-J98-J165-SUM(J180:J182)-SUM(J188:J190)+25000*G178))</f>
        <v>0</v>
      </c>
      <c r="K198" s="318"/>
      <c r="L198" s="318">
        <f>IF(H198="TDC",L194,(L194-L98-L165-SUM(L180:L182)-SUM(L188:L190)))</f>
        <v>0</v>
      </c>
      <c r="M198" s="318"/>
      <c r="N198" s="318">
        <f>IF(H198="TDC",N194,(N194-N98-N165-SUM(N180:N182)-SUM(N188:N190)))</f>
        <v>0</v>
      </c>
      <c r="O198" s="318"/>
      <c r="P198" s="318">
        <f>IF(H198="TDC",P194,(P194-P98-P165-SUM(P180:P182)-SUM(P188:P190)))</f>
        <v>0</v>
      </c>
      <c r="Q198" s="318"/>
      <c r="R198" s="318">
        <f>IF(H198="TDC",R194,(R194-R98-R165-SUM(R180:R182)-SUM(R188:R190)))</f>
        <v>0</v>
      </c>
      <c r="S198" s="318"/>
      <c r="T198" s="318">
        <f>IF(H198="TDC",T194,(T194-T98-T165-SUM(T180:T182)-SUM(T188:T190)))</f>
        <v>0</v>
      </c>
      <c r="U198" s="318"/>
      <c r="V198" s="318">
        <f>IF(H198="TDC",V194,(V194-V98-V165-SUM(V180:V182)-SUM(V188:V190)))</f>
        <v>0</v>
      </c>
      <c r="W198" s="318"/>
      <c r="X198" s="318">
        <f>IF(H198="TDC",X194,(X194-X98-X165-SUM(X180:X182)-SUM(X188:X190)))</f>
        <v>0</v>
      </c>
      <c r="Y198" s="318"/>
      <c r="Z198" s="318">
        <f>IF(H198="TDC",Z194,(Z194-Z98-Z165-SUM(Z180:Z182)-SUM(Z188:Z190)))</f>
        <v>0</v>
      </c>
      <c r="AA198" s="318"/>
      <c r="AB198" s="318">
        <f>IF(H198="TDC",AB194,(AB194-AB98-AB165-SUM(AB180:AB182)-SUM(AB188:AB190)))</f>
        <v>0</v>
      </c>
      <c r="AC198" s="318"/>
      <c r="AD198" s="18">
        <f>J198+L198+N198+P198+R198+T198+V198+X198+Z198+AB198</f>
        <v>0</v>
      </c>
      <c r="AF198" s="337">
        <f>IF(H198="TDC",AF194,(AF194-AF98-AF165-SUM(AF180:AF182)-SUM(AF188:AF190)))</f>
        <v>0</v>
      </c>
      <c r="AG198" s="318"/>
      <c r="AH198" s="337">
        <f>IF(H198="TDC",AH194,(AH194-AH98-AH165-SUM(AH180:AH182)-SUM(AH188:AH190)))</f>
        <v>0</v>
      </c>
      <c r="AI198" s="318"/>
      <c r="AJ198" s="337">
        <f>IF(H198="TDC",AJ194,(AJ194-AJ98-AJ165-SUM(AJ180:AJ182)-SUM(AJ188:AJ190)))</f>
        <v>0</v>
      </c>
      <c r="AK198" s="318"/>
      <c r="AL198" s="337">
        <f>IF(H198="TDC",AL194,(AL194-AL98-AL165-SUM(AL180:AL182)-SUM(AL188:AL190)))</f>
        <v>0</v>
      </c>
      <c r="AM198" s="318"/>
      <c r="AN198" s="337">
        <f>IF(H198="TDC",AN194,(AN194-AN98-AN165-SUM(AN180:AN182)-SUM(AN188:AN190)))</f>
        <v>0</v>
      </c>
      <c r="AO198" s="318"/>
      <c r="AP198" s="337">
        <f>IF(H198="TDC",AP194,(AP194-AP98-AP165-SUM(AP180:AP182)-SUM(AP188:AP190)))</f>
        <v>0</v>
      </c>
      <c r="AQ198" s="318"/>
      <c r="AR198" s="337">
        <f>IF(H198="TDC",AR194,(AR194-AR98-AR165-SUM(AR180:AR182)-SUM(AR188:AR190)))</f>
        <v>0</v>
      </c>
      <c r="AS198" s="318"/>
      <c r="AT198" s="337">
        <f>IF(H198="TDC",AT194,(AT194-AT98-AT165-SUM(AT180:AT182)-SUM(AT188:AT190)))</f>
        <v>0</v>
      </c>
      <c r="AU198" s="318"/>
      <c r="AV198" s="337">
        <f>IF(H198="TDC",AV194,(AV194-AV98-AV165-SUM(AV180:AV182)-SUM(AV188:AV190)))</f>
        <v>0</v>
      </c>
      <c r="AW198" s="318"/>
      <c r="AX198" s="337">
        <f>IF(H198="TDC",AX194,(AX194-AX98-AX165-SUM(AX180:AX182)-SUM(AX188:AX190)))</f>
        <v>0</v>
      </c>
      <c r="AY198" s="318"/>
      <c r="AZ198" s="344">
        <f>AF198+AH198+AJ198+AL198+AN198+AP198+AR198+AT198+AV198+AX198</f>
        <v>0</v>
      </c>
    </row>
    <row r="199" spans="2:52" x14ac:dyDescent="0.25">
      <c r="B199" s="13"/>
      <c r="C199" s="285" t="s">
        <v>378</v>
      </c>
      <c r="G199" s="13"/>
      <c r="H199" s="350">
        <f>IF(E198="Off-Campus","26%",VLOOKUP(D198,Hidden_Lookups!A46:B48,2,FALSE))</f>
        <v>0.56499999999999995</v>
      </c>
      <c r="M199" s="44"/>
      <c r="N199" s="44"/>
      <c r="O199" s="44"/>
      <c r="P199" s="44"/>
      <c r="Q199" s="44"/>
      <c r="R199" s="44"/>
      <c r="S199" s="44"/>
      <c r="W199" s="44"/>
      <c r="X199" s="44"/>
      <c r="Y199" s="44"/>
      <c r="Z199" s="44"/>
      <c r="AA199" s="44"/>
      <c r="AB199" s="44"/>
      <c r="AC199" s="44"/>
      <c r="AD199" s="18"/>
      <c r="AI199" s="44"/>
      <c r="AJ199" s="89"/>
      <c r="AK199" s="44"/>
      <c r="AL199" s="89"/>
      <c r="AM199" s="44"/>
      <c r="AN199" s="89"/>
      <c r="AO199" s="44"/>
      <c r="AS199" s="44"/>
      <c r="AT199" s="89"/>
      <c r="AU199" s="44"/>
      <c r="AV199" s="89"/>
      <c r="AW199" s="44"/>
      <c r="AX199" s="89"/>
      <c r="AY199" s="44"/>
      <c r="AZ199" s="344"/>
    </row>
    <row r="200" spans="2:52" x14ac:dyDescent="0.25">
      <c r="B200" s="13"/>
      <c r="C200" s="77" t="s">
        <v>399</v>
      </c>
      <c r="H200" s="317"/>
      <c r="J200" s="11">
        <f>IF(H198="TDC",$H$199*J194,J198*$H$199)</f>
        <v>0</v>
      </c>
      <c r="L200" s="11">
        <f>IF(H198="TDC",$H$199*L194,L198*$H$199)</f>
        <v>0</v>
      </c>
      <c r="M200" s="78"/>
      <c r="N200" s="11">
        <f>IF(H198="TDC",$H$199*N194,N198*$H$199)</f>
        <v>0</v>
      </c>
      <c r="O200" s="78"/>
      <c r="P200" s="11">
        <f>IF(H198="TDC",$H$199*P194,P198*$H$199)</f>
        <v>0</v>
      </c>
      <c r="Q200" s="11"/>
      <c r="R200" s="11">
        <f>IF(H198="TDC",$H$199*R194,R198*$H$199)</f>
        <v>0</v>
      </c>
      <c r="S200" s="78"/>
      <c r="T200" s="11">
        <f>IF(H198="TDC",$H$199*T194,T198*$H$199)</f>
        <v>0</v>
      </c>
      <c r="V200" s="11">
        <f>IF(H198="TDC",$H$199*V194,V198*$H$199)</f>
        <v>0</v>
      </c>
      <c r="W200" s="78"/>
      <c r="X200" s="11">
        <f>IF(H198="TDC",$H$199*X194,X198*$H$199)</f>
        <v>0</v>
      </c>
      <c r="Y200" s="78"/>
      <c r="Z200" s="11">
        <f>IF(H198="TDC",$H$199*Z194,Z198*$H$199)</f>
        <v>0</v>
      </c>
      <c r="AA200" s="11"/>
      <c r="AB200" s="11">
        <f>IF(H199="TDC",$H$199*AB194,AB198*$H$199)</f>
        <v>0</v>
      </c>
      <c r="AC200" s="78"/>
      <c r="AD200" s="320">
        <f>J200+L200+N200+P200+R200+T200+V200+X200+Z200+AB200</f>
        <v>0</v>
      </c>
      <c r="AE200" s="78"/>
      <c r="AF200" s="338">
        <f>IF(H198="TDC",$H$199*AF194,AF198*$H$199)</f>
        <v>0</v>
      </c>
      <c r="AH200" s="338">
        <f>IF(H198="TDC",$H$199*AH194,AH198*$H$199)</f>
        <v>0</v>
      </c>
      <c r="AI200" s="78"/>
      <c r="AJ200" s="338">
        <f>IF(H198="TDC",$H$199*AJ194,AJ198*$H$199)</f>
        <v>0</v>
      </c>
      <c r="AK200" s="78"/>
      <c r="AL200" s="338">
        <f>IF(H198="TDC",$H$199*AL194,AL198*$H$199)</f>
        <v>0</v>
      </c>
      <c r="AM200" s="11"/>
      <c r="AN200" s="338">
        <f>IF(H198="TDC",$H$199*AN194,AN198*$H$199)</f>
        <v>0</v>
      </c>
      <c r="AO200" s="78"/>
      <c r="AP200" s="338">
        <f>IF(H198="TDC",$H$199*AP194,AP198*$H$199)</f>
        <v>0</v>
      </c>
      <c r="AR200" s="338">
        <f>IF(H198="TDC",$H$199*AR194,AR198*$H$199)</f>
        <v>0</v>
      </c>
      <c r="AS200" s="78"/>
      <c r="AT200" s="338">
        <f>IF(H198="TDC",$H$199*AT194,AT198*$H$199)</f>
        <v>0</v>
      </c>
      <c r="AU200" s="78"/>
      <c r="AV200" s="338">
        <f>IF(H198="TDC",$H$199*AV194,AV198*$H$199)</f>
        <v>0</v>
      </c>
      <c r="AW200" s="11"/>
      <c r="AX200" s="338">
        <f>IF(H198="TDC",$H$199*AX194,AX198*$H$199)</f>
        <v>0</v>
      </c>
      <c r="AY200" s="78"/>
      <c r="AZ200" s="345">
        <f>AF200+AH200+AJ200+AL200+AN200+AP200+AR200+AT200+AV200+AX200</f>
        <v>0</v>
      </c>
    </row>
    <row r="201" spans="2:52" x14ac:dyDescent="0.25">
      <c r="C201" s="13"/>
      <c r="H201" s="13"/>
      <c r="I201" s="13"/>
      <c r="J201" s="44"/>
      <c r="K201" s="44"/>
      <c r="L201" s="44"/>
      <c r="M201" s="44"/>
      <c r="N201" s="44"/>
      <c r="O201" s="44"/>
      <c r="P201" s="44"/>
      <c r="Q201" s="44"/>
      <c r="R201" s="44"/>
      <c r="S201" s="44"/>
      <c r="T201" s="44"/>
      <c r="U201" s="44"/>
      <c r="V201" s="44"/>
      <c r="W201" s="44"/>
      <c r="X201" s="44"/>
      <c r="Y201" s="44"/>
      <c r="Z201" s="44"/>
      <c r="AA201" s="44"/>
      <c r="AB201" s="44"/>
      <c r="AC201" s="44"/>
      <c r="AD201" s="18"/>
      <c r="AE201" s="13"/>
      <c r="AF201" s="89"/>
      <c r="AG201" s="44"/>
      <c r="AH201" s="89"/>
      <c r="AI201" s="44"/>
      <c r="AJ201" s="89"/>
      <c r="AK201" s="44"/>
      <c r="AL201" s="89"/>
      <c r="AM201" s="44"/>
      <c r="AN201" s="89"/>
      <c r="AO201" s="44"/>
      <c r="AP201" s="89"/>
      <c r="AQ201" s="44"/>
      <c r="AR201" s="89"/>
      <c r="AS201" s="44"/>
      <c r="AT201" s="89"/>
      <c r="AU201" s="44"/>
      <c r="AV201" s="89"/>
      <c r="AW201" s="44"/>
      <c r="AX201" s="89"/>
      <c r="AY201" s="44"/>
      <c r="AZ201" s="344"/>
    </row>
    <row r="202" spans="2:52" x14ac:dyDescent="0.25">
      <c r="B202" s="10" t="s">
        <v>41</v>
      </c>
      <c r="C202" s="10" t="s">
        <v>17</v>
      </c>
      <c r="J202" s="78">
        <f>J194+J200</f>
        <v>0</v>
      </c>
      <c r="L202" s="78">
        <f>L194+L200</f>
        <v>0</v>
      </c>
      <c r="M202" s="44"/>
      <c r="N202" s="78">
        <f>N194+N200</f>
        <v>0</v>
      </c>
      <c r="O202" s="78"/>
      <c r="P202" s="78">
        <f>P194+P200</f>
        <v>0</v>
      </c>
      <c r="Q202" s="78"/>
      <c r="R202" s="78">
        <f>R194+R200</f>
        <v>0</v>
      </c>
      <c r="S202" s="78"/>
      <c r="T202" s="78">
        <f>T194+T200</f>
        <v>0</v>
      </c>
      <c r="V202" s="78">
        <f>V194+V200</f>
        <v>0</v>
      </c>
      <c r="W202" s="44"/>
      <c r="X202" s="78">
        <f>X194+X200</f>
        <v>0</v>
      </c>
      <c r="Y202" s="78"/>
      <c r="Z202" s="78">
        <f>Z194+Z200</f>
        <v>0</v>
      </c>
      <c r="AA202" s="78"/>
      <c r="AB202" s="78">
        <f>AB194+AB200</f>
        <v>0</v>
      </c>
      <c r="AC202" s="78"/>
      <c r="AD202" s="18">
        <f>J202+L202+N202+P202+R202+T202+V202+X202+Z202+AB202</f>
        <v>0</v>
      </c>
      <c r="AE202" s="78"/>
      <c r="AF202" s="327">
        <f>AF194+AF200</f>
        <v>0</v>
      </c>
      <c r="AH202" s="327">
        <f>AH194+AH200</f>
        <v>0</v>
      </c>
      <c r="AI202" s="44"/>
      <c r="AJ202" s="327">
        <f>AJ194+AJ200</f>
        <v>0</v>
      </c>
      <c r="AK202" s="78"/>
      <c r="AL202" s="327">
        <f>AL194+AL200</f>
        <v>0</v>
      </c>
      <c r="AM202" s="78"/>
      <c r="AN202" s="327">
        <f>AN194+AN200</f>
        <v>0</v>
      </c>
      <c r="AO202" s="78"/>
      <c r="AP202" s="327">
        <f>AP194+AP200</f>
        <v>0</v>
      </c>
      <c r="AR202" s="327">
        <f>AR194+AR200</f>
        <v>0</v>
      </c>
      <c r="AS202" s="44"/>
      <c r="AT202" s="327">
        <f>AT194+AT200</f>
        <v>0</v>
      </c>
      <c r="AU202" s="78"/>
      <c r="AV202" s="327">
        <f>AV194+AV200</f>
        <v>0</v>
      </c>
      <c r="AW202" s="78"/>
      <c r="AX202" s="327">
        <f>AX194+AX200</f>
        <v>0</v>
      </c>
      <c r="AY202" s="78"/>
      <c r="AZ202" s="344">
        <f>AF202+AH202+AJ202+AL202+AN202+AP202+AR202+AT202+AV202+AX202</f>
        <v>0</v>
      </c>
    </row>
    <row r="203" spans="2:52" x14ac:dyDescent="0.25">
      <c r="B203" s="10"/>
      <c r="C203" s="10"/>
      <c r="M203" s="44"/>
      <c r="N203" s="44"/>
      <c r="O203" s="44"/>
      <c r="P203" s="44"/>
      <c r="Q203" s="44"/>
      <c r="R203" s="44"/>
      <c r="S203" s="44"/>
      <c r="W203" s="44"/>
      <c r="X203" s="44"/>
      <c r="Y203" s="44"/>
      <c r="Z203" s="44"/>
      <c r="AA203" s="44"/>
      <c r="AB203" s="44"/>
      <c r="AC203" s="44"/>
      <c r="AD203" s="18"/>
      <c r="AI203" s="44"/>
      <c r="AJ203" s="89"/>
      <c r="AK203" s="44"/>
      <c r="AL203" s="89"/>
      <c r="AM203" s="44"/>
      <c r="AN203" s="89"/>
      <c r="AO203" s="44"/>
      <c r="AS203" s="44"/>
      <c r="AT203" s="89"/>
      <c r="AU203" s="44"/>
      <c r="AV203" s="89"/>
      <c r="AW203" s="44"/>
      <c r="AX203" s="89"/>
      <c r="AY203" s="44"/>
      <c r="AZ203" s="344"/>
    </row>
    <row r="204" spans="2:52" outlineLevel="1" x14ac:dyDescent="0.25">
      <c r="B204" s="10" t="s">
        <v>257</v>
      </c>
      <c r="C204" s="10" t="s">
        <v>375</v>
      </c>
      <c r="M204" s="44"/>
      <c r="N204" s="44"/>
      <c r="O204" s="44"/>
      <c r="P204" s="44"/>
      <c r="Q204" s="44"/>
      <c r="R204" s="44"/>
      <c r="S204" s="44"/>
      <c r="W204" s="44"/>
      <c r="X204" s="44"/>
      <c r="Y204" s="44"/>
      <c r="Z204" s="44"/>
      <c r="AA204" s="44"/>
      <c r="AB204" s="44"/>
      <c r="AC204" s="44"/>
      <c r="AD204" s="18"/>
      <c r="AI204" s="44"/>
      <c r="AJ204" s="89"/>
      <c r="AK204" s="44"/>
      <c r="AL204" s="89"/>
      <c r="AM204" s="44"/>
      <c r="AN204" s="89"/>
      <c r="AO204" s="44"/>
      <c r="AS204" s="44"/>
      <c r="AT204" s="89"/>
      <c r="AU204" s="44"/>
      <c r="AV204" s="89"/>
      <c r="AW204" s="44"/>
      <c r="AX204" s="89"/>
      <c r="AY204" s="44"/>
      <c r="AZ204" s="344"/>
    </row>
    <row r="205" spans="2:52" outlineLevel="1" x14ac:dyDescent="0.25">
      <c r="B205" s="10"/>
      <c r="C205" s="12" t="s">
        <v>380</v>
      </c>
      <c r="J205" s="78">
        <v>0</v>
      </c>
      <c r="L205" s="78">
        <v>0</v>
      </c>
      <c r="M205" s="44"/>
      <c r="N205" s="44">
        <v>0</v>
      </c>
      <c r="O205" s="44"/>
      <c r="P205" s="44">
        <v>0</v>
      </c>
      <c r="Q205" s="44"/>
      <c r="R205" s="44">
        <v>0</v>
      </c>
      <c r="S205" s="44"/>
      <c r="T205" s="78">
        <v>0</v>
      </c>
      <c r="V205" s="78">
        <v>0</v>
      </c>
      <c r="W205" s="44"/>
      <c r="X205" s="44">
        <v>0</v>
      </c>
      <c r="Y205" s="44"/>
      <c r="Z205" s="44">
        <v>0</v>
      </c>
      <c r="AA205" s="44"/>
      <c r="AB205" s="44">
        <v>0</v>
      </c>
      <c r="AC205" s="44"/>
      <c r="AD205" s="18">
        <f>J205+L205+N205+P205+R205+T205+V205+X205+Z205+AB205</f>
        <v>0</v>
      </c>
      <c r="AF205" s="327">
        <v>0</v>
      </c>
      <c r="AH205" s="327">
        <v>0</v>
      </c>
      <c r="AI205" s="44"/>
      <c r="AJ205" s="89">
        <v>0</v>
      </c>
      <c r="AK205" s="44"/>
      <c r="AL205" s="89">
        <v>0</v>
      </c>
      <c r="AM205" s="44"/>
      <c r="AN205" s="89">
        <v>0</v>
      </c>
      <c r="AO205" s="44"/>
      <c r="AP205" s="327">
        <v>0</v>
      </c>
      <c r="AR205" s="327">
        <v>0</v>
      </c>
      <c r="AS205" s="44"/>
      <c r="AT205" s="89">
        <v>0</v>
      </c>
      <c r="AU205" s="44"/>
      <c r="AV205" s="89">
        <v>0</v>
      </c>
      <c r="AW205" s="44"/>
      <c r="AX205" s="89">
        <v>0</v>
      </c>
      <c r="AY205" s="44"/>
      <c r="AZ205" s="344">
        <f>AF205+AH205+AJ205+AL205+AN205+AP205+AR205+AT205+AV205+AX205</f>
        <v>0</v>
      </c>
    </row>
    <row r="206" spans="2:52" outlineLevel="1" x14ac:dyDescent="0.25">
      <c r="B206" s="10"/>
      <c r="C206" s="12"/>
      <c r="M206" s="44"/>
      <c r="N206" s="44"/>
      <c r="O206" s="44"/>
      <c r="P206" s="44"/>
      <c r="Q206" s="44"/>
      <c r="R206" s="44"/>
      <c r="S206" s="44"/>
      <c r="W206" s="44"/>
      <c r="X206" s="44"/>
      <c r="Y206" s="44"/>
      <c r="Z206" s="44"/>
      <c r="AA206" s="44"/>
      <c r="AB206" s="44"/>
      <c r="AC206" s="44"/>
      <c r="AD206" s="18"/>
      <c r="AI206" s="44"/>
      <c r="AJ206" s="89"/>
      <c r="AK206" s="44"/>
      <c r="AL206" s="89"/>
      <c r="AM206" s="44"/>
      <c r="AN206" s="89"/>
      <c r="AO206" s="44"/>
      <c r="AS206" s="44"/>
      <c r="AT206" s="89"/>
      <c r="AU206" s="44"/>
      <c r="AV206" s="89"/>
      <c r="AW206" s="44"/>
      <c r="AX206" s="89"/>
      <c r="AY206" s="44"/>
      <c r="AZ206" s="344"/>
    </row>
    <row r="207" spans="2:52" outlineLevel="1" x14ac:dyDescent="0.25">
      <c r="B207" s="10" t="s">
        <v>258</v>
      </c>
      <c r="C207" s="10" t="s">
        <v>377</v>
      </c>
      <c r="J207" s="78">
        <f>J205+J202</f>
        <v>0</v>
      </c>
      <c r="L207" s="78">
        <f>L205+L202</f>
        <v>0</v>
      </c>
      <c r="M207" s="44"/>
      <c r="N207" s="78">
        <f>N205+N202</f>
        <v>0</v>
      </c>
      <c r="O207" s="44"/>
      <c r="P207" s="78">
        <f>P205+P202</f>
        <v>0</v>
      </c>
      <c r="Q207" s="44"/>
      <c r="R207" s="78">
        <f>R205+R202</f>
        <v>0</v>
      </c>
      <c r="S207" s="44"/>
      <c r="T207" s="78">
        <f>T205+T202</f>
        <v>0</v>
      </c>
      <c r="V207" s="78">
        <f>V205+V202</f>
        <v>0</v>
      </c>
      <c r="W207" s="44"/>
      <c r="X207" s="78">
        <f>X205+X202</f>
        <v>0</v>
      </c>
      <c r="Y207" s="44"/>
      <c r="Z207" s="78">
        <f>Z205+Z202</f>
        <v>0</v>
      </c>
      <c r="AA207" s="44"/>
      <c r="AB207" s="78">
        <f>AB205+AB202</f>
        <v>0</v>
      </c>
      <c r="AC207" s="78"/>
      <c r="AD207" s="18">
        <f>J207+L207+N207+P207+R207+T207+V207+X207+Z207+AB207</f>
        <v>0</v>
      </c>
      <c r="AF207" s="327">
        <f>AF205+AF202</f>
        <v>0</v>
      </c>
      <c r="AH207" s="327">
        <f>AH205+AH202</f>
        <v>0</v>
      </c>
      <c r="AI207" s="44"/>
      <c r="AJ207" s="327">
        <f>AJ205+AJ202</f>
        <v>0</v>
      </c>
      <c r="AK207" s="44"/>
      <c r="AL207" s="327">
        <f>AL205+AL202</f>
        <v>0</v>
      </c>
      <c r="AM207" s="44"/>
      <c r="AN207" s="327">
        <f>AN205+AN202</f>
        <v>0</v>
      </c>
      <c r="AO207" s="44"/>
      <c r="AP207" s="327">
        <f>AP205+AP202</f>
        <v>0</v>
      </c>
      <c r="AR207" s="327">
        <f>AR205+AR202</f>
        <v>0</v>
      </c>
      <c r="AS207" s="44"/>
      <c r="AT207" s="327">
        <f>AT205+AT202</f>
        <v>0</v>
      </c>
      <c r="AU207" s="44"/>
      <c r="AV207" s="327">
        <f>AV205+AV202</f>
        <v>0</v>
      </c>
      <c r="AW207" s="44"/>
      <c r="AX207" s="327">
        <f>AX205+AX202</f>
        <v>0</v>
      </c>
      <c r="AY207" s="78"/>
      <c r="AZ207" s="344">
        <f>AF207+AH207+AJ207+AL207+AN207+AP207+AR207+AT207+AV207+AX207</f>
        <v>0</v>
      </c>
    </row>
    <row r="208" spans="2:52" outlineLevel="1" x14ac:dyDescent="0.25">
      <c r="B208" s="10"/>
      <c r="C208" s="10"/>
      <c r="M208" s="44"/>
      <c r="N208" s="44"/>
      <c r="O208" s="44"/>
      <c r="P208" s="44"/>
      <c r="Q208" s="44"/>
      <c r="R208" s="44"/>
      <c r="S208" s="44"/>
      <c r="W208" s="44"/>
      <c r="X208" s="44"/>
      <c r="Y208" s="44"/>
      <c r="Z208" s="44"/>
      <c r="AA208" s="44"/>
      <c r="AB208" s="44"/>
      <c r="AC208" s="44"/>
      <c r="AD208" s="78"/>
      <c r="AI208" s="44"/>
      <c r="AJ208" s="89"/>
      <c r="AK208" s="44"/>
      <c r="AL208" s="89"/>
      <c r="AM208" s="44"/>
      <c r="AN208" s="89"/>
      <c r="AO208" s="44"/>
      <c r="AS208" s="44"/>
      <c r="AT208" s="89"/>
      <c r="AU208" s="44"/>
      <c r="AV208" s="89"/>
      <c r="AW208" s="44"/>
      <c r="AX208" s="89"/>
      <c r="AY208" s="44"/>
      <c r="AZ208" s="327"/>
    </row>
    <row r="209" spans="1:52" x14ac:dyDescent="0.25">
      <c r="C209" s="10" t="s">
        <v>373</v>
      </c>
      <c r="G209" s="351">
        <f>AD207</f>
        <v>0</v>
      </c>
      <c r="J209" s="13"/>
      <c r="L209" s="44"/>
      <c r="M209" s="44"/>
      <c r="N209" s="44"/>
      <c r="O209" s="44"/>
      <c r="P209" s="44"/>
      <c r="Q209" s="44"/>
      <c r="R209" s="44"/>
      <c r="S209" s="44"/>
      <c r="T209" s="13"/>
      <c r="V209" s="44"/>
      <c r="W209" s="44"/>
      <c r="X209" s="44"/>
      <c r="Y209" s="44"/>
      <c r="Z209" s="44"/>
      <c r="AA209" s="44"/>
      <c r="AB209" s="44"/>
      <c r="AC209" s="44"/>
      <c r="AD209" s="78"/>
      <c r="AF209" s="328"/>
      <c r="AH209" s="89"/>
      <c r="AI209" s="44"/>
      <c r="AJ209" s="89"/>
      <c r="AK209" s="44"/>
      <c r="AL209" s="89"/>
      <c r="AM209" s="44"/>
      <c r="AN209" s="89"/>
      <c r="AO209" s="44"/>
      <c r="AP209" s="328"/>
      <c r="AR209" s="89"/>
      <c r="AS209" s="44"/>
      <c r="AT209" s="89"/>
      <c r="AU209" s="44"/>
      <c r="AV209" s="89"/>
      <c r="AW209" s="44"/>
      <c r="AX209" s="89"/>
      <c r="AY209" s="44"/>
      <c r="AZ209" s="327"/>
    </row>
    <row r="210" spans="1:52" x14ac:dyDescent="0.25">
      <c r="C210" s="10" t="s">
        <v>341</v>
      </c>
      <c r="G210" s="351">
        <f>AZ207</f>
        <v>0</v>
      </c>
      <c r="J210" s="13"/>
      <c r="L210" s="44"/>
      <c r="M210" s="44"/>
      <c r="N210" s="44"/>
      <c r="O210" s="44"/>
      <c r="P210" s="44"/>
      <c r="Q210" s="44"/>
      <c r="R210" s="44"/>
      <c r="S210" s="44"/>
      <c r="T210" s="13"/>
      <c r="V210" s="44"/>
      <c r="W210" s="44"/>
      <c r="X210" s="44"/>
      <c r="Y210" s="44"/>
      <c r="Z210" s="44"/>
      <c r="AA210" s="44"/>
      <c r="AB210" s="44"/>
      <c r="AC210" s="44"/>
      <c r="AD210" s="78"/>
      <c r="AF210" s="328"/>
      <c r="AH210" s="89"/>
      <c r="AI210" s="44"/>
      <c r="AJ210" s="89"/>
      <c r="AK210" s="44"/>
      <c r="AL210" s="89"/>
      <c r="AM210" s="44"/>
      <c r="AN210" s="89"/>
      <c r="AO210" s="44"/>
      <c r="AP210" s="328"/>
      <c r="AR210" s="89"/>
      <c r="AS210" s="44"/>
      <c r="AT210" s="89"/>
      <c r="AU210" s="44"/>
      <c r="AV210" s="89"/>
      <c r="AW210" s="44"/>
      <c r="AX210" s="89"/>
      <c r="AY210" s="44"/>
      <c r="AZ210" s="327"/>
    </row>
    <row r="211" spans="1:52" x14ac:dyDescent="0.25">
      <c r="C211" s="10" t="s">
        <v>361</v>
      </c>
      <c r="E211" s="12" t="s">
        <v>363</v>
      </c>
      <c r="F211" s="44" t="s">
        <v>374</v>
      </c>
      <c r="G211" s="352">
        <f>IFERROR(IF(F211="Sponsor Request",G210/G209,(G210/(G209+G210))),0)</f>
        <v>0</v>
      </c>
      <c r="H211" s="355"/>
      <c r="J211" s="13"/>
      <c r="L211" s="44"/>
      <c r="M211" s="44"/>
      <c r="N211" s="44"/>
      <c r="O211" s="44"/>
      <c r="P211" s="44"/>
      <c r="Q211" s="44"/>
      <c r="R211" s="44"/>
      <c r="S211" s="44"/>
      <c r="T211" s="13"/>
      <c r="V211" s="44"/>
      <c r="W211" s="44"/>
      <c r="X211" s="44"/>
      <c r="Y211" s="44"/>
      <c r="Z211" s="44"/>
      <c r="AA211" s="44"/>
      <c r="AB211" s="44"/>
      <c r="AC211" s="44"/>
      <c r="AD211" s="78"/>
      <c r="AF211" s="328"/>
      <c r="AH211" s="89"/>
      <c r="AI211" s="44"/>
      <c r="AJ211" s="89"/>
      <c r="AK211" s="44"/>
      <c r="AL211" s="89"/>
      <c r="AM211" s="44"/>
      <c r="AN211" s="89"/>
      <c r="AO211" s="44"/>
      <c r="AP211" s="328"/>
      <c r="AR211" s="89"/>
      <c r="AS211" s="44"/>
      <c r="AT211" s="89"/>
      <c r="AU211" s="44"/>
      <c r="AV211" s="89"/>
      <c r="AW211" s="44"/>
      <c r="AX211" s="89"/>
      <c r="AY211" s="44"/>
      <c r="AZ211" s="327"/>
    </row>
    <row r="212" spans="1:52" x14ac:dyDescent="0.25">
      <c r="A212" s="199" t="s">
        <v>402</v>
      </c>
      <c r="C212" s="10"/>
      <c r="H212" s="355"/>
      <c r="J212" s="9"/>
      <c r="M212" s="44"/>
      <c r="N212" s="44"/>
      <c r="O212" s="44"/>
      <c r="P212" s="44"/>
      <c r="Q212" s="44"/>
      <c r="R212" s="44"/>
      <c r="S212" s="44"/>
      <c r="T212" s="9"/>
      <c r="W212" s="44"/>
      <c r="X212" s="44"/>
      <c r="Y212" s="44"/>
      <c r="Z212" s="44"/>
      <c r="AA212" s="44"/>
      <c r="AB212" s="44"/>
      <c r="AC212" s="44"/>
      <c r="AD212" s="78"/>
      <c r="AF212" s="334"/>
      <c r="AI212" s="44"/>
      <c r="AJ212" s="89"/>
      <c r="AK212" s="44"/>
      <c r="AL212" s="89"/>
      <c r="AM212" s="44"/>
      <c r="AN212" s="89"/>
      <c r="AO212" s="44"/>
      <c r="AP212" s="334"/>
      <c r="AS212" s="44"/>
      <c r="AT212" s="89"/>
      <c r="AU212" s="44"/>
      <c r="AV212" s="89"/>
      <c r="AW212" s="44"/>
      <c r="AX212" s="89"/>
      <c r="AY212" s="44"/>
      <c r="AZ212" s="327"/>
    </row>
    <row r="213" spans="1:52" x14ac:dyDescent="0.25">
      <c r="A213" s="77" t="s">
        <v>403</v>
      </c>
      <c r="B213" s="10"/>
      <c r="D213" s="283" t="s">
        <v>313</v>
      </c>
      <c r="E213" s="284"/>
    </row>
    <row r="214" spans="1:52" x14ac:dyDescent="0.25">
      <c r="D214" s="283" t="s">
        <v>314</v>
      </c>
      <c r="E214" s="284"/>
    </row>
    <row r="215" spans="1:52" x14ac:dyDescent="0.25">
      <c r="D215" s="285" t="s">
        <v>315</v>
      </c>
      <c r="E215" s="284"/>
      <c r="H215" s="292"/>
      <c r="I215" s="293"/>
      <c r="J215" s="293"/>
      <c r="T215" s="293"/>
      <c r="AF215" s="339"/>
      <c r="AP215" s="339"/>
    </row>
    <row r="216" spans="1:52" x14ac:dyDescent="0.25">
      <c r="E216" s="284"/>
      <c r="H216" s="292"/>
      <c r="I216" s="293"/>
      <c r="J216" s="293"/>
      <c r="T216" s="293"/>
      <c r="AF216" s="339"/>
      <c r="AP216" s="339"/>
    </row>
    <row r="217" spans="1:52" x14ac:dyDescent="0.25">
      <c r="D217" s="286"/>
      <c r="E217" s="287"/>
    </row>
    <row r="218" spans="1:52" x14ac:dyDescent="0.25">
      <c r="D218" s="283" t="s">
        <v>316</v>
      </c>
      <c r="E218" s="284"/>
    </row>
    <row r="219" spans="1:52" x14ac:dyDescent="0.25">
      <c r="D219" s="286"/>
      <c r="E219" s="287"/>
    </row>
    <row r="220" spans="1:52" x14ac:dyDescent="0.25">
      <c r="D220" s="283" t="s">
        <v>218</v>
      </c>
      <c r="E220" s="284"/>
    </row>
    <row r="221" spans="1:52" x14ac:dyDescent="0.25">
      <c r="D221" s="286"/>
      <c r="E221" s="288"/>
    </row>
    <row r="222" spans="1:52" x14ac:dyDescent="0.25">
      <c r="D222" s="283" t="s">
        <v>317</v>
      </c>
    </row>
    <row r="225" spans="4:43" x14ac:dyDescent="0.25">
      <c r="D225" s="13"/>
      <c r="E225" s="13"/>
      <c r="F225" s="15"/>
      <c r="G225" s="13"/>
      <c r="H225" s="13"/>
      <c r="I225" s="13"/>
      <c r="J225" s="13"/>
      <c r="K225" s="13"/>
      <c r="T225" s="13"/>
      <c r="U225" s="13"/>
      <c r="AF225" s="328"/>
      <c r="AG225" s="13"/>
      <c r="AP225" s="328"/>
      <c r="AQ225" s="13"/>
    </row>
    <row r="226" spans="4:43" x14ac:dyDescent="0.25">
      <c r="G226" s="13"/>
      <c r="H226" s="13"/>
      <c r="I226" s="13"/>
      <c r="J226" s="13"/>
      <c r="K226" s="13"/>
      <c r="T226" s="13"/>
      <c r="U226" s="13"/>
      <c r="AF226" s="328"/>
      <c r="AG226" s="13"/>
      <c r="AP226" s="328"/>
      <c r="AQ226" s="13"/>
    </row>
  </sheetData>
  <customSheetViews>
    <customSheetView guid="{57C5C8F1-8001-4F07-BD71-B2E547A208C7}" printArea="1" filter="1" showAutoFilter="1" hiddenColumns="1">
      <selection activeCell="AG193" sqref="AG193"/>
      <pageMargins left="0.37" right="0.33" top="0.62" bottom="0.64" header="0.5" footer="0.5"/>
      <pageSetup scale="88" orientation="landscape" r:id="rId1"/>
      <headerFooter alignWithMargins="0"/>
      <autoFilter ref="AH16:AH183" xr:uid="{5F3A42F7-A6D4-43B2-AF2A-7F40A89F8AA9}">
        <filterColumn colId="0">
          <filters>
            <filter val="TRUE"/>
          </filters>
        </filterColumn>
      </autoFilter>
    </customSheetView>
    <customSheetView guid="{EEFF5A2A-628E-4803-AAD1-B24B534F2503}" printArea="1" showAutoFilter="1" hiddenColumns="1">
      <selection activeCell="AG193" sqref="AG193"/>
      <pageMargins left="0.37" right="0.33" top="0.62" bottom="0.64" header="0.5" footer="0.5"/>
      <pageSetup scale="88" orientation="landscape" r:id="rId2"/>
      <headerFooter alignWithMargins="0"/>
      <autoFilter ref="AH16:AH183" xr:uid="{9CBEDF64-0F68-4844-BE8D-E58C6E86FFC6}"/>
    </customSheetView>
  </customSheetViews>
  <mergeCells count="18">
    <mergeCell ref="CP21:CR21"/>
    <mergeCell ref="E2:G2"/>
    <mergeCell ref="E1:G1"/>
    <mergeCell ref="B5:K5"/>
    <mergeCell ref="E3:G3"/>
    <mergeCell ref="BV21:BX21"/>
    <mergeCell ref="BF21:BH21"/>
    <mergeCell ref="BJ21:BL21"/>
    <mergeCell ref="BN21:BP21"/>
    <mergeCell ref="BR21:BT21"/>
    <mergeCell ref="E4:G4"/>
    <mergeCell ref="E18:G18"/>
    <mergeCell ref="D9:R10"/>
    <mergeCell ref="F179:AD179"/>
    <mergeCell ref="BZ21:CB21"/>
    <mergeCell ref="CD21:CF21"/>
    <mergeCell ref="CH21:CJ21"/>
    <mergeCell ref="CL21:CN21"/>
  </mergeCells>
  <phoneticPr fontId="0" type="noConversion"/>
  <dataValidations count="2">
    <dataValidation type="list" allowBlank="1" showInputMessage="1" showErrorMessage="1" sqref="A21 A65:A66 A175 A149" xr:uid="{00000000-0002-0000-0000-000000000000}">
      <formula1>#REF!</formula1>
    </dataValidation>
    <dataValidation allowBlank="1" showInputMessage="1" sqref="G211 H199" xr:uid="{00000000-0002-0000-0000-000001000000}"/>
  </dataValidations>
  <pageMargins left="0.37" right="0.33" top="0.62" bottom="0.64" header="0.5" footer="0.5"/>
  <pageSetup scale="66" orientation="portrait" r:id="rId3"/>
  <headerFooter alignWithMargins="0"/>
  <colBreaks count="1" manualBreakCount="1">
    <brk id="30" min="4" max="210" man="1"/>
  </colBreaks>
  <ignoredErrors>
    <ignoredError sqref="I190" evalError="1"/>
    <ignoredError sqref="M198 S198 Q198 O198 AS198 AU198 AW198 AG198 AF198 AH198:AR198 AX198 AV198 AT198" formulaRange="1"/>
    <ignoredError sqref="CB70:CS86 CC23 BZ27:BZ63 BZ25 BZ23 BW24:BY24 BH24:BU24 BH25:BY64 BY22 BU22 BQ22:BS22 BM22:BO22 BI22:BJ22 CB22:CB47 BH23:BY23 BH22 BV24 CA23 BL22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B61 CB63 CF50:CG50 CG48:CG49 CJ50:CK50 CK48:CK49 CN50:CO50 CO48:CO49 CF53:CG53 CG51:CG52 CF56:CG56 CG54:CG55 CF59:CG64 CG57:CG58 CJ53:CK53 CK51:CK52 CJ56:CK56 CK54:CK55 CJ59:CK64 CK57:CK58 CN53:CO53 CO51:CO52 CN56:CO56 CO54:CO55 CN59:CO64 CO57:CO58 CR50:CS50 CS48 CS49 CR53:CS53 CS51 CS52 CR56:CS56 CS54 CS55 CR59:CS64 CS57 CS58" unlockedFormula="1"/>
  </ignoredErrors>
  <drawing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3000000}">
          <x14:formula1>
            <xm:f>Hidden_Lookups!$A$41:$A$43</xm:f>
          </x14:formula1>
          <xm:sqref>D198</xm:sqref>
        </x14:dataValidation>
        <x14:dataValidation type="list" allowBlank="1" showInputMessage="1" showErrorMessage="1" xr:uid="{00000000-0002-0000-0000-000004000000}">
          <x14:formula1>
            <xm:f>Hidden_Lookups!$A$33:$A$34</xm:f>
          </x14:formula1>
          <xm:sqref>E198</xm:sqref>
        </x14:dataValidation>
        <x14:dataValidation type="list" allowBlank="1" showInputMessage="1" showErrorMessage="1" xr:uid="{00000000-0002-0000-0000-000005000000}">
          <x14:formula1>
            <xm:f>Hidden_Lookups!$A$37:$A$38</xm:f>
          </x14:formula1>
          <xm:sqref>H198</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A176:A190</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Hidden_Lookups!$A$55:$A$56</xm:f>
          </x14:formula1>
          <xm:sqref>F211</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
  <sheetViews>
    <sheetView topLeftCell="A22" workbookViewId="0">
      <selection activeCell="D19" sqref="D19"/>
    </sheetView>
  </sheetViews>
  <sheetFormatPr defaultColWidth="9" defaultRowHeight="15" x14ac:dyDescent="0.25"/>
  <cols>
    <col min="1" max="1" width="25.75" style="13" bestFit="1" customWidth="1"/>
    <col min="2" max="2" width="9" style="13"/>
    <col min="3" max="3" width="10.75" style="13" customWidth="1"/>
    <col min="4" max="16384" width="9" style="13"/>
  </cols>
  <sheetData>
    <row r="1" spans="1:2" x14ac:dyDescent="0.25">
      <c r="A1" s="323" t="s">
        <v>352</v>
      </c>
      <c r="B1" s="323" t="s">
        <v>33</v>
      </c>
    </row>
    <row r="2" spans="1:2" x14ac:dyDescent="0.25">
      <c r="A2" s="45" t="s">
        <v>250</v>
      </c>
      <c r="B2" s="322">
        <v>0.4</v>
      </c>
    </row>
    <row r="3" spans="1:2" x14ac:dyDescent="0.25">
      <c r="A3" s="45" t="s">
        <v>52</v>
      </c>
      <c r="B3" s="322">
        <v>0.114</v>
      </c>
    </row>
    <row r="4" spans="1:2" x14ac:dyDescent="0.25">
      <c r="A4" s="45" t="s">
        <v>239</v>
      </c>
      <c r="B4" s="322">
        <v>1.7999999999999999E-2</v>
      </c>
    </row>
    <row r="5" spans="1:2" x14ac:dyDescent="0.25">
      <c r="A5" s="45" t="s">
        <v>253</v>
      </c>
      <c r="B5" s="322">
        <v>0.4</v>
      </c>
    </row>
    <row r="6" spans="1:2" x14ac:dyDescent="0.25">
      <c r="A6" s="45" t="s">
        <v>254</v>
      </c>
      <c r="B6" s="322">
        <v>0.14599999999999999</v>
      </c>
    </row>
    <row r="7" spans="1:2" x14ac:dyDescent="0.25">
      <c r="A7" s="45" t="s">
        <v>252</v>
      </c>
      <c r="B7" s="322">
        <v>0.4</v>
      </c>
    </row>
    <row r="8" spans="1:2" x14ac:dyDescent="0.25">
      <c r="A8" s="45" t="s">
        <v>272</v>
      </c>
      <c r="B8" s="322">
        <v>0</v>
      </c>
    </row>
    <row r="9" spans="1:2" x14ac:dyDescent="0.25">
      <c r="A9" s="45" t="s">
        <v>259</v>
      </c>
      <c r="B9" s="322">
        <v>0.4</v>
      </c>
    </row>
    <row r="10" spans="1:2" x14ac:dyDescent="0.25">
      <c r="A10" s="45" t="s">
        <v>238</v>
      </c>
      <c r="B10" s="322">
        <v>0.31</v>
      </c>
    </row>
    <row r="11" spans="1:2" x14ac:dyDescent="0.25">
      <c r="A11" s="45" t="s">
        <v>249</v>
      </c>
      <c r="B11" s="322">
        <v>0.4</v>
      </c>
    </row>
    <row r="12" spans="1:2" x14ac:dyDescent="0.25">
      <c r="A12" s="45" t="s">
        <v>364</v>
      </c>
      <c r="B12" s="322">
        <v>0.4</v>
      </c>
    </row>
    <row r="13" spans="1:2" x14ac:dyDescent="0.25">
      <c r="A13" s="45" t="s">
        <v>387</v>
      </c>
      <c r="B13" s="322">
        <v>0.14599999999999999</v>
      </c>
    </row>
    <row r="15" spans="1:2" x14ac:dyDescent="0.25">
      <c r="A15" s="323" t="s">
        <v>358</v>
      </c>
    </row>
    <row r="16" spans="1:2" x14ac:dyDescent="0.25">
      <c r="A16" s="13" t="s">
        <v>255</v>
      </c>
    </row>
    <row r="17" spans="1:1" x14ac:dyDescent="0.25">
      <c r="A17" s="13" t="s">
        <v>256</v>
      </c>
    </row>
    <row r="19" spans="1:1" x14ac:dyDescent="0.25">
      <c r="A19" s="323" t="s">
        <v>10</v>
      </c>
    </row>
    <row r="20" spans="1:1" x14ac:dyDescent="0.25">
      <c r="A20" s="324" t="s">
        <v>240</v>
      </c>
    </row>
    <row r="21" spans="1:1" x14ac:dyDescent="0.25">
      <c r="A21" s="324" t="s">
        <v>241</v>
      </c>
    </row>
    <row r="23" spans="1:1" x14ac:dyDescent="0.25">
      <c r="A23" s="323" t="s">
        <v>355</v>
      </c>
    </row>
    <row r="24" spans="1:1" x14ac:dyDescent="0.25">
      <c r="A24" s="45" t="s">
        <v>45</v>
      </c>
    </row>
    <row r="25" spans="1:1" x14ac:dyDescent="0.25">
      <c r="A25" s="45" t="s">
        <v>26</v>
      </c>
    </row>
    <row r="26" spans="1:1" x14ac:dyDescent="0.25">
      <c r="A26" s="45" t="s">
        <v>251</v>
      </c>
    </row>
    <row r="27" spans="1:1" x14ac:dyDescent="0.25">
      <c r="A27" s="45" t="s">
        <v>247</v>
      </c>
    </row>
    <row r="28" spans="1:1" x14ac:dyDescent="0.25">
      <c r="A28" s="45" t="s">
        <v>233</v>
      </c>
    </row>
    <row r="29" spans="1:1" x14ac:dyDescent="0.25">
      <c r="A29" s="45" t="s">
        <v>55</v>
      </c>
    </row>
    <row r="30" spans="1:1" x14ac:dyDescent="0.25">
      <c r="A30" s="45" t="s">
        <v>12</v>
      </c>
    </row>
    <row r="32" spans="1:1" x14ac:dyDescent="0.25">
      <c r="A32" s="323" t="s">
        <v>353</v>
      </c>
    </row>
    <row r="33" spans="1:4" x14ac:dyDescent="0.25">
      <c r="A33" s="13" t="s">
        <v>337</v>
      </c>
      <c r="B33" s="349">
        <v>0.56499999999999995</v>
      </c>
    </row>
    <row r="34" spans="1:4" x14ac:dyDescent="0.25">
      <c r="A34" s="13" t="s">
        <v>338</v>
      </c>
      <c r="B34" s="325">
        <v>0.26</v>
      </c>
    </row>
    <row r="36" spans="1:4" x14ac:dyDescent="0.25">
      <c r="A36" s="323" t="s">
        <v>354</v>
      </c>
    </row>
    <row r="37" spans="1:4" x14ac:dyDescent="0.25">
      <c r="A37" s="13" t="s">
        <v>88</v>
      </c>
    </row>
    <row r="38" spans="1:4" x14ac:dyDescent="0.25">
      <c r="A38" s="13" t="s">
        <v>89</v>
      </c>
    </row>
    <row r="40" spans="1:4" x14ac:dyDescent="0.25">
      <c r="A40" s="323" t="s">
        <v>356</v>
      </c>
    </row>
    <row r="41" spans="1:4" x14ac:dyDescent="0.25">
      <c r="A41" s="13" t="s">
        <v>336</v>
      </c>
    </row>
    <row r="42" spans="1:4" x14ac:dyDescent="0.25">
      <c r="A42" s="13" t="s">
        <v>339</v>
      </c>
    </row>
    <row r="43" spans="1:4" x14ac:dyDescent="0.25">
      <c r="A43" s="13" t="s">
        <v>370</v>
      </c>
    </row>
    <row r="45" spans="1:4" x14ac:dyDescent="0.25">
      <c r="A45" s="323" t="s">
        <v>357</v>
      </c>
    </row>
    <row r="46" spans="1:4" x14ac:dyDescent="0.25">
      <c r="A46" s="13" t="s">
        <v>336</v>
      </c>
      <c r="B46" s="322">
        <v>0.56499999999999995</v>
      </c>
      <c r="D46" s="326"/>
    </row>
    <row r="47" spans="1:4" x14ac:dyDescent="0.25">
      <c r="A47" s="13" t="s">
        <v>339</v>
      </c>
      <c r="B47" s="322">
        <v>0.47499999999999998</v>
      </c>
    </row>
    <row r="48" spans="1:4" x14ac:dyDescent="0.25">
      <c r="A48" s="13" t="s">
        <v>370</v>
      </c>
      <c r="B48" s="322">
        <v>0.33500000000000002</v>
      </c>
    </row>
    <row r="49" spans="1:1" x14ac:dyDescent="0.25">
      <c r="A49" s="326">
        <v>0.26</v>
      </c>
    </row>
    <row r="50" spans="1:1" x14ac:dyDescent="0.25">
      <c r="A50" s="326">
        <v>0.08</v>
      </c>
    </row>
    <row r="51" spans="1:1" x14ac:dyDescent="0.25">
      <c r="A51" s="326">
        <v>0.1</v>
      </c>
    </row>
    <row r="52" spans="1:1" x14ac:dyDescent="0.25">
      <c r="A52" s="326">
        <v>0</v>
      </c>
    </row>
    <row r="54" spans="1:1" x14ac:dyDescent="0.25">
      <c r="A54" s="323" t="s">
        <v>362</v>
      </c>
    </row>
    <row r="55" spans="1:1" x14ac:dyDescent="0.25">
      <c r="A55" s="77" t="s">
        <v>382</v>
      </c>
    </row>
    <row r="56" spans="1:1" x14ac:dyDescent="0.25">
      <c r="A56" s="77" t="s">
        <v>374</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91" workbookViewId="0">
      <selection activeCell="F53" sqref="F53"/>
    </sheetView>
  </sheetViews>
  <sheetFormatPr defaultColWidth="9" defaultRowHeight="15.75" outlineLevelRow="1" outlineLevelCol="1" x14ac:dyDescent="0.25"/>
  <cols>
    <col min="1" max="1" width="13" style="200" customWidth="1"/>
    <col min="2" max="2" width="7" style="201" customWidth="1"/>
    <col min="3" max="3" width="5.375" style="202" customWidth="1"/>
    <col min="4" max="8" width="8.25" style="201" customWidth="1"/>
    <col min="9" max="13" width="8.25" style="201" hidden="1" customWidth="1" outlineLevel="1"/>
    <col min="14" max="14" width="8.25" style="201" customWidth="1" collapsed="1"/>
    <col min="16" max="16" width="55" customWidth="1"/>
  </cols>
  <sheetData>
    <row r="1" spans="1:23" x14ac:dyDescent="0.25">
      <c r="N1" s="347" t="s">
        <v>366</v>
      </c>
      <c r="P1" s="203"/>
      <c r="Q1" t="str">
        <f>CONCATENATE("\begin{table}[]\begin{tabular}{|p{",IF($R$1&gt;7,"1.5cm",IF($R$1&gt;6,"2cm","4cm")),"}|&gt;{\raggedleft}p{1.1cm}|r|",REPT("r|",$R$1-1),"}\hline ")</f>
        <v xml:space="preserve">\begin{table}[]\begin{tabular}{|p{4cm}|&gt;{\raggedleft}p{1.1cm}|r|r|r|r|}\hline </v>
      </c>
      <c r="R1">
        <f>4+COUNTIF(D48:H48,"&lt;&gt;0")</f>
        <v>4</v>
      </c>
    </row>
    <row r="2" spans="1:23" ht="28.5" customHeight="1" x14ac:dyDescent="0.25">
      <c r="A2" s="218" t="str">
        <f>+Estimation!C101</f>
        <v>Domestic</v>
      </c>
      <c r="B2" s="219" t="s">
        <v>277</v>
      </c>
      <c r="C2" s="219" t="s">
        <v>278</v>
      </c>
      <c r="D2" s="220" t="str">
        <f>Estimation!$J$18</f>
        <v>Year 1</v>
      </c>
      <c r="E2" s="220" t="str">
        <f>Estimation!$L$18</f>
        <v>Year 2</v>
      </c>
      <c r="F2" s="220" t="str">
        <f>Estimation!$N$18</f>
        <v>Year 3</v>
      </c>
      <c r="G2" s="220" t="str">
        <f>Estimation!$P$18</f>
        <v>Year 4</v>
      </c>
      <c r="H2" s="220" t="str">
        <f>Estimation!$R$18</f>
        <v>Year 5</v>
      </c>
      <c r="I2" s="220" t="str">
        <f>Estimation!$T$18</f>
        <v>Year 6</v>
      </c>
      <c r="J2" s="220" t="str">
        <f>Estimation!$V$18</f>
        <v>Year 7</v>
      </c>
      <c r="K2" s="220" t="str">
        <f>Estimation!$X$18</f>
        <v>Year 8</v>
      </c>
      <c r="L2" s="220" t="str">
        <f>Estimation!$Z$18</f>
        <v>Year 9</v>
      </c>
      <c r="M2" s="220" t="str">
        <f>Estimation!$AB$18</f>
        <v>Year 10</v>
      </c>
      <c r="N2" s="221" t="str">
        <f>Estimation!AD18</f>
        <v>Total</v>
      </c>
      <c r="P2" s="225" t="s">
        <v>318</v>
      </c>
      <c r="Q2" t="str">
        <f>IF(N27&gt;0,CONCATENATE(A2,"&amp;",B2,"&amp;\",C2,IF($D$48&lt;&gt;0,CONCATENATE("&amp;",D2),""),IF($E$48&lt;&gt;0,CONCATENATE("&amp;",E2),""),IF($F$48&lt;&gt;0,CONCATENATE("&amp;",F2),""),IF($G$48&lt;&gt;0,CONCATENATE("&amp;",G2),""),IF($H$48&lt;&gt;0,CONCATENATE("&amp;",H2),""),"&amp;",N2,"\\ \hline"),"")</f>
        <v/>
      </c>
    </row>
    <row r="3" spans="1:23" ht="15.6" customHeight="1" x14ac:dyDescent="0.25">
      <c r="A3" s="370" t="str">
        <f>+Estimation!C102</f>
        <v>Conference</v>
      </c>
      <c r="B3" s="371"/>
      <c r="C3" s="371"/>
      <c r="D3" s="371"/>
      <c r="E3" s="371"/>
      <c r="F3" s="371"/>
      <c r="G3" s="371"/>
      <c r="H3" s="371"/>
      <c r="I3" s="371"/>
      <c r="J3" s="371"/>
      <c r="K3" s="371"/>
      <c r="L3" s="371"/>
      <c r="M3" s="371"/>
      <c r="N3" s="372"/>
      <c r="P3" s="365" t="s">
        <v>281</v>
      </c>
      <c r="Q3" t="str">
        <f>IF(SUM(D4:N7)&lt;&gt;0,CONCATENATE("\multicolumn{",$R$1,"}{c}{",A3,"} \\ \hline" ),"")</f>
        <v/>
      </c>
    </row>
    <row r="4" spans="1:23" s="205" customFormat="1" x14ac:dyDescent="0.25">
      <c r="A4" s="204" t="str">
        <f>Estimation!D103</f>
        <v>Airfare</v>
      </c>
      <c r="B4" s="214">
        <f>Estimation!E103</f>
        <v>0</v>
      </c>
      <c r="C4" s="212"/>
      <c r="D4" s="214">
        <f>Estimation!J103</f>
        <v>0</v>
      </c>
      <c r="E4" s="214">
        <f>Estimation!L103</f>
        <v>0</v>
      </c>
      <c r="F4" s="214">
        <f>Estimation!N103</f>
        <v>0</v>
      </c>
      <c r="G4" s="214">
        <f>Estimation!P103</f>
        <v>0</v>
      </c>
      <c r="H4" s="214">
        <f>Estimation!R103</f>
        <v>0</v>
      </c>
      <c r="I4" s="214">
        <f>Estimation!T103</f>
        <v>0</v>
      </c>
      <c r="J4" s="214">
        <f>Estimation!V103</f>
        <v>0</v>
      </c>
      <c r="K4" s="214">
        <f>Estimation!X103</f>
        <v>0</v>
      </c>
      <c r="L4" s="214">
        <f>Estimation!Z103</f>
        <v>0</v>
      </c>
      <c r="M4" s="214">
        <f>Estimation!AB103</f>
        <v>0</v>
      </c>
      <c r="N4" s="214">
        <f>Estimation!AD103</f>
        <v>0</v>
      </c>
      <c r="P4" s="365"/>
      <c r="Q4" s="205" t="str">
        <f>IF(N4&gt;0,CONCATENATE(A4,"&amp;\$",B4,"&amp;",C4,IF($D$48&lt;&gt;0,CONCATENATE("&amp;\$",D4),""),IF($E$48&lt;&gt;0,CONCATENATE("&amp;\$",E4),""),IF($F$48&lt;&gt;0,CONCATENATE("&amp;\$",F4),""),IF($G$48&lt;&gt;0,CONCATENATE("&amp;\$",G4),""),IF($H$48&lt;&gt;0,CONCATENATE("&amp;\$",H4),""),"&amp;\$",N4,"\\ \hline"),"")</f>
        <v/>
      </c>
      <c r="R4" s="202"/>
      <c r="S4" s="201"/>
      <c r="T4" s="201"/>
      <c r="U4" s="201"/>
      <c r="V4" s="201"/>
    </row>
    <row r="5" spans="1:23" x14ac:dyDescent="0.25">
      <c r="A5" s="204" t="str">
        <f>Estimation!D104</f>
        <v>Lodging</v>
      </c>
      <c r="B5" s="214">
        <f>Estimation!E104</f>
        <v>0</v>
      </c>
      <c r="C5" s="212">
        <f>Estimation!F104</f>
        <v>0</v>
      </c>
      <c r="D5" s="214">
        <f>Estimation!J104</f>
        <v>0</v>
      </c>
      <c r="E5" s="214">
        <f>Estimation!L104</f>
        <v>0</v>
      </c>
      <c r="F5" s="214">
        <f>Estimation!N104</f>
        <v>0</v>
      </c>
      <c r="G5" s="214">
        <f>Estimation!P104</f>
        <v>0</v>
      </c>
      <c r="H5" s="214">
        <f>Estimation!R104</f>
        <v>0</v>
      </c>
      <c r="I5" s="214">
        <f>Estimation!T104</f>
        <v>0</v>
      </c>
      <c r="J5" s="214">
        <f>Estimation!V104</f>
        <v>0</v>
      </c>
      <c r="K5" s="214">
        <f>Estimation!X104</f>
        <v>0</v>
      </c>
      <c r="L5" s="214">
        <f>Estimation!Z104</f>
        <v>0</v>
      </c>
      <c r="M5" s="214">
        <f>Estimation!AB104</f>
        <v>0</v>
      </c>
      <c r="N5" s="214">
        <f>Estimation!AD104</f>
        <v>0</v>
      </c>
      <c r="P5" s="365"/>
      <c r="Q5" s="205" t="str">
        <f>IF(N5&gt;0,CONCATENATE(A5,"&amp;\$",B5,"&amp;",C5,IF($D$48&lt;&gt;0,CONCATENATE("&amp;\$",D5),""),IF($E$48&lt;&gt;0,CONCATENATE("&amp;\$",E5),""),IF($F$48&lt;&gt;0,CONCATENATE("&amp;\$",F5),""),IF($G$48&lt;&gt;0,CONCATENATE("&amp;\$",G5),""),IF($H$48&lt;&gt;0,CONCATENATE("&amp;\$",H5),""),"&amp;\$",N5,"\\ \hline"),"")</f>
        <v/>
      </c>
    </row>
    <row r="6" spans="1:23" ht="15.6" customHeight="1" x14ac:dyDescent="0.25">
      <c r="A6" s="204" t="str">
        <f>Estimation!D105</f>
        <v>Per Diem</v>
      </c>
      <c r="B6" s="214">
        <f>Estimation!E105</f>
        <v>0</v>
      </c>
      <c r="C6" s="212">
        <f>Estimation!F105</f>
        <v>0</v>
      </c>
      <c r="D6" s="214">
        <f>Estimation!J105</f>
        <v>0</v>
      </c>
      <c r="E6" s="214">
        <f>Estimation!L105</f>
        <v>0</v>
      </c>
      <c r="F6" s="214">
        <f>Estimation!N105</f>
        <v>0</v>
      </c>
      <c r="G6" s="214">
        <f>Estimation!P105</f>
        <v>0</v>
      </c>
      <c r="H6" s="214">
        <f>Estimation!R105</f>
        <v>0</v>
      </c>
      <c r="I6" s="214">
        <f>Estimation!T105</f>
        <v>0</v>
      </c>
      <c r="J6" s="214">
        <f>Estimation!V105</f>
        <v>0</v>
      </c>
      <c r="K6" s="214">
        <f>Estimation!X105</f>
        <v>0</v>
      </c>
      <c r="L6" s="214">
        <f>Estimation!Z105</f>
        <v>0</v>
      </c>
      <c r="M6" s="214">
        <f>Estimation!AB105</f>
        <v>0</v>
      </c>
      <c r="N6" s="214">
        <f>Estimation!AD105</f>
        <v>0</v>
      </c>
      <c r="P6" s="226"/>
      <c r="Q6" s="205" t="str">
        <f>IF(N6&gt;0,CONCATENATE(A6,"&amp;\$",B6,"&amp;",C6,IF($D$48&lt;&gt;0,CONCATENATE("&amp;\$",D6),""),IF($E$48&lt;&gt;0,CONCATENATE("&amp;\$",E6),""),IF($F$48&lt;&gt;0,CONCATENATE("&amp;\$",F6),""),IF($G$48&lt;&gt;0,CONCATENATE("&amp;\$",G6),""),IF($H$48&lt;&gt;0,CONCATENATE("&amp;\$",H6),""),"&amp;\$",N6,"\\ \hline"),"")</f>
        <v/>
      </c>
      <c r="R6" s="213"/>
      <c r="S6" s="213"/>
      <c r="T6" s="213"/>
      <c r="U6" s="213"/>
      <c r="V6" s="206"/>
      <c r="W6" s="206"/>
    </row>
    <row r="7" spans="1:23" ht="27.6" customHeight="1" x14ac:dyDescent="0.25">
      <c r="A7" s="207" t="str">
        <f>Estimation!D106</f>
        <v>Ground Transportation</v>
      </c>
      <c r="B7" s="214">
        <f>Estimation!E106</f>
        <v>40</v>
      </c>
      <c r="C7" s="212">
        <f>Estimation!F106</f>
        <v>0</v>
      </c>
      <c r="D7" s="214">
        <f>Estimation!J106</f>
        <v>0</v>
      </c>
      <c r="E7" s="214">
        <f>Estimation!L106</f>
        <v>0</v>
      </c>
      <c r="F7" s="214">
        <f>Estimation!N106</f>
        <v>0</v>
      </c>
      <c r="G7" s="214">
        <f>Estimation!P106</f>
        <v>0</v>
      </c>
      <c r="H7" s="214">
        <f>Estimation!R106</f>
        <v>0</v>
      </c>
      <c r="I7" s="214">
        <f>Estimation!T106</f>
        <v>0</v>
      </c>
      <c r="J7" s="214">
        <f>Estimation!V106</f>
        <v>0</v>
      </c>
      <c r="K7" s="214">
        <f>Estimation!X106</f>
        <v>0</v>
      </c>
      <c r="L7" s="214">
        <f>Estimation!Z106</f>
        <v>0</v>
      </c>
      <c r="M7" s="214">
        <f>Estimation!AB106</f>
        <v>0</v>
      </c>
      <c r="N7" s="214">
        <f>Estimation!AD106</f>
        <v>0</v>
      </c>
      <c r="P7" s="365" t="s">
        <v>285</v>
      </c>
      <c r="Q7" s="205" t="str">
        <f>IF(N7&gt;0,CONCATENATE(A7,"&amp;\$",B7,"&amp;",C7,IF($D$48&lt;&gt;0,CONCATENATE("&amp;\$",D7),""),IF($E$48&lt;&gt;0,CONCATENATE("&amp;\$",E7),""),IF($F$48&lt;&gt;0,CONCATENATE("&amp;\$",F7),""),IF($G$48&lt;&gt;0,CONCATENATE("&amp;\$",G7),""),IF($H$48&lt;&gt;0,CONCATENATE("&amp;\$",H7),""),"&amp;\$",N7,"\\ \hline"),"")</f>
        <v/>
      </c>
      <c r="R7" s="213"/>
      <c r="S7" s="213"/>
      <c r="T7" s="213"/>
      <c r="U7" s="213"/>
      <c r="V7" s="206"/>
      <c r="W7" s="206"/>
    </row>
    <row r="8" spans="1:23" x14ac:dyDescent="0.25">
      <c r="A8" s="373" t="str">
        <f>+Estimation!C108</f>
        <v>Description</v>
      </c>
      <c r="B8" s="373"/>
      <c r="C8" s="373"/>
      <c r="D8" s="373"/>
      <c r="E8" s="373"/>
      <c r="F8" s="373"/>
      <c r="G8" s="373"/>
      <c r="H8" s="373"/>
      <c r="I8" s="373"/>
      <c r="J8" s="373"/>
      <c r="K8" s="373"/>
      <c r="L8" s="373"/>
      <c r="M8" s="373"/>
      <c r="N8" s="373"/>
      <c r="O8" t="s">
        <v>221</v>
      </c>
      <c r="P8" s="365"/>
      <c r="Q8" t="str">
        <f>IF(SUM(D9:N12)&lt;&gt;0,CONCATENATE("\multicolumn{",$R$1,"}{c}{",A8,"} \\ \hline" ),"")</f>
        <v/>
      </c>
      <c r="R8" s="213"/>
      <c r="S8" s="213"/>
      <c r="T8" s="213"/>
      <c r="U8" s="213"/>
    </row>
    <row r="9" spans="1:23" x14ac:dyDescent="0.25">
      <c r="A9" s="204" t="str">
        <f>Estimation!D109</f>
        <v>Airfare</v>
      </c>
      <c r="B9" s="214">
        <f>Estimation!E109</f>
        <v>0</v>
      </c>
      <c r="C9" s="212"/>
      <c r="D9" s="214">
        <f>Estimation!J109</f>
        <v>0</v>
      </c>
      <c r="E9" s="214">
        <f>Estimation!L109</f>
        <v>0</v>
      </c>
      <c r="F9" s="214">
        <f>Estimation!N109</f>
        <v>0</v>
      </c>
      <c r="G9" s="214">
        <f>Estimation!P109</f>
        <v>0</v>
      </c>
      <c r="H9" s="214">
        <f>Estimation!R109</f>
        <v>0</v>
      </c>
      <c r="I9" s="214">
        <f>Estimation!T109</f>
        <v>0</v>
      </c>
      <c r="J9" s="214">
        <f>Estimation!V109</f>
        <v>0</v>
      </c>
      <c r="K9" s="214">
        <f>Estimation!X109</f>
        <v>0</v>
      </c>
      <c r="L9" s="214">
        <f>Estimation!Z109</f>
        <v>0</v>
      </c>
      <c r="M9" s="214">
        <f>Estimation!AB109</f>
        <v>0</v>
      </c>
      <c r="N9" s="214">
        <f>Estimation!AD109</f>
        <v>0</v>
      </c>
      <c r="P9" s="226"/>
      <c r="Q9" s="205" t="str">
        <f>IF(N9&gt;0,CONCATENATE(A9,"&amp;\$",B9,"&amp;",C9,IF($D$48&lt;&gt;0,CONCATENATE("&amp;\$",D9),""),IF($E$48&lt;&gt;0,CONCATENATE("&amp;\$",E9),""),IF($F$48&lt;&gt;0,CONCATENATE("&amp;\$",F9),""),IF($G$48&lt;&gt;0,CONCATENATE("&amp;\$",G9),""),IF($H$48&lt;&gt;0,CONCATENATE("&amp;\$",H9),""),"&amp;\$",N9,"\\ \hline"),"")</f>
        <v/>
      </c>
      <c r="R9" s="213"/>
      <c r="S9" s="213"/>
      <c r="T9" s="213"/>
      <c r="U9" s="213"/>
    </row>
    <row r="10" spans="1:23" x14ac:dyDescent="0.25">
      <c r="A10" s="204" t="str">
        <f>Estimation!D110</f>
        <v>Lodging</v>
      </c>
      <c r="B10" s="214">
        <f>Estimation!E110</f>
        <v>0</v>
      </c>
      <c r="C10" s="212">
        <f>Estimation!F110</f>
        <v>0</v>
      </c>
      <c r="D10" s="214">
        <f>Estimation!J110</f>
        <v>0</v>
      </c>
      <c r="E10" s="214">
        <f>Estimation!L110</f>
        <v>0</v>
      </c>
      <c r="F10" s="214">
        <f>Estimation!N110</f>
        <v>0</v>
      </c>
      <c r="G10" s="214">
        <f>Estimation!P110</f>
        <v>0</v>
      </c>
      <c r="H10" s="214">
        <f>Estimation!R110</f>
        <v>0</v>
      </c>
      <c r="I10" s="214">
        <f>Estimation!T110</f>
        <v>0</v>
      </c>
      <c r="J10" s="214">
        <f>Estimation!V110</f>
        <v>0</v>
      </c>
      <c r="K10" s="214">
        <f>Estimation!X110</f>
        <v>0</v>
      </c>
      <c r="L10" s="214">
        <f>Estimation!Z110</f>
        <v>0</v>
      </c>
      <c r="M10" s="214">
        <f>Estimation!AB110</f>
        <v>0</v>
      </c>
      <c r="N10" s="214">
        <f>Estimation!AD110</f>
        <v>0</v>
      </c>
      <c r="P10" s="365" t="s">
        <v>283</v>
      </c>
      <c r="Q10" s="205" t="str">
        <f>IF(N10&gt;0,CONCATENATE(A10,"&amp;\$",B10,"&amp;",C10,IF($D$48&lt;&gt;0,CONCATENATE("&amp;\$",D10),""),IF($E$48&lt;&gt;0,CONCATENATE("&amp;\$",E10),""),IF($F$48&lt;&gt;0,CONCATENATE("&amp;\$",F10),""),IF($G$48&lt;&gt;0,CONCATENATE("&amp;\$",G10),""),IF($H$48&lt;&gt;0,CONCATENATE("&amp;\$",H10),""),"&amp;\$",N10,"\\ \hline"),"")</f>
        <v/>
      </c>
    </row>
    <row r="11" spans="1:23" x14ac:dyDescent="0.25">
      <c r="A11" s="204" t="str">
        <f>Estimation!D111</f>
        <v>Per Diem</v>
      </c>
      <c r="B11" s="214">
        <f>Estimation!E111</f>
        <v>0</v>
      </c>
      <c r="C11" s="212">
        <f>Estimation!F111</f>
        <v>0</v>
      </c>
      <c r="D11" s="214">
        <f>Estimation!J111</f>
        <v>0</v>
      </c>
      <c r="E11" s="214">
        <f>Estimation!L111</f>
        <v>0</v>
      </c>
      <c r="F11" s="214">
        <f>Estimation!N111</f>
        <v>0</v>
      </c>
      <c r="G11" s="214">
        <f>Estimation!P111</f>
        <v>0</v>
      </c>
      <c r="H11" s="214">
        <f>Estimation!R111</f>
        <v>0</v>
      </c>
      <c r="I11" s="214">
        <f>Estimation!T111</f>
        <v>0</v>
      </c>
      <c r="J11" s="214">
        <f>Estimation!V111</f>
        <v>0</v>
      </c>
      <c r="K11" s="214">
        <f>Estimation!X111</f>
        <v>0</v>
      </c>
      <c r="L11" s="214">
        <f>Estimation!Z111</f>
        <v>0</v>
      </c>
      <c r="M11" s="214">
        <f>Estimation!AB111</f>
        <v>0</v>
      </c>
      <c r="N11" s="214">
        <f>Estimation!AD111</f>
        <v>0</v>
      </c>
      <c r="P11" s="365"/>
      <c r="Q11" s="205" t="str">
        <f>IF(N11&gt;0,CONCATENATE(A11,"&amp;\$",B11,"&amp;",C11,IF($D$48&lt;&gt;0,CONCATENATE("&amp;\$",D11),""),IF($E$48&lt;&gt;0,CONCATENATE("&amp;\$",E11),""),IF($F$48&lt;&gt;0,CONCATENATE("&amp;\$",F11),""),IF($G$48&lt;&gt;0,CONCATENATE("&amp;\$",G11),""),IF($H$48&lt;&gt;0,CONCATENATE("&amp;\$",H11),""),"&amp;\$",N11,"\\ \hline"),"")</f>
        <v/>
      </c>
    </row>
    <row r="12" spans="1:23" ht="30" x14ac:dyDescent="0.25">
      <c r="A12" s="207" t="str">
        <f>Estimation!D112</f>
        <v>Ground Transportation</v>
      </c>
      <c r="B12" s="214">
        <f>Estimation!E112</f>
        <v>40</v>
      </c>
      <c r="C12" s="212">
        <f>Estimation!F112</f>
        <v>0</v>
      </c>
      <c r="D12" s="214">
        <f>Estimation!J112</f>
        <v>0</v>
      </c>
      <c r="E12" s="214">
        <f>Estimation!L112</f>
        <v>0</v>
      </c>
      <c r="F12" s="214">
        <f>Estimation!N112</f>
        <v>0</v>
      </c>
      <c r="G12" s="214">
        <f>Estimation!P112</f>
        <v>0</v>
      </c>
      <c r="H12" s="214">
        <f>Estimation!R112</f>
        <v>0</v>
      </c>
      <c r="I12" s="214">
        <f>Estimation!T112</f>
        <v>0</v>
      </c>
      <c r="J12" s="214">
        <f>Estimation!V112</f>
        <v>0</v>
      </c>
      <c r="K12" s="214">
        <f>Estimation!X112</f>
        <v>0</v>
      </c>
      <c r="L12" s="214">
        <f>Estimation!Z112</f>
        <v>0</v>
      </c>
      <c r="M12" s="214">
        <f>Estimation!AB112</f>
        <v>0</v>
      </c>
      <c r="N12" s="214">
        <f>Estimation!AD112</f>
        <v>0</v>
      </c>
      <c r="P12" s="226" t="s">
        <v>279</v>
      </c>
      <c r="Q12" s="205" t="str">
        <f>IF(N12&gt;0,CONCATENATE(A12,"&amp;\$",B12,"&amp;",C12,IF($D$48&lt;&gt;0,CONCATENATE("&amp;\$",D12),""),IF($E$48&lt;&gt;0,CONCATENATE("&amp;\$",E12),""),IF($F$48&lt;&gt;0,CONCATENATE("&amp;\$",F12),""),IF($G$48&lt;&gt;0,CONCATENATE("&amp;\$",G12),""),IF($H$48&lt;&gt;0,CONCATENATE("&amp;\$",H12),""),"&amp;\$",N12,"\\ \hline"),"")</f>
        <v/>
      </c>
    </row>
    <row r="13" spans="1:23" x14ac:dyDescent="0.25">
      <c r="A13" s="373" t="str">
        <f>+Estimation!C114</f>
        <v>Description</v>
      </c>
      <c r="B13" s="373"/>
      <c r="C13" s="373"/>
      <c r="D13" s="373"/>
      <c r="E13" s="373"/>
      <c r="F13" s="373"/>
      <c r="G13" s="373"/>
      <c r="H13" s="373"/>
      <c r="I13" s="373"/>
      <c r="J13" s="373"/>
      <c r="K13" s="373"/>
      <c r="L13" s="373"/>
      <c r="M13" s="373"/>
      <c r="N13" s="373"/>
      <c r="P13" s="226" t="s">
        <v>284</v>
      </c>
      <c r="Q13" t="str">
        <f>IF(SUM(D14:N17)&lt;&gt;0,CONCATENATE("\multicolumn{",$R$1,"}{c}{",A13,"} \\ \hline" ),"")</f>
        <v/>
      </c>
    </row>
    <row r="14" spans="1:23" x14ac:dyDescent="0.25">
      <c r="A14" s="204" t="str">
        <f>Estimation!D115</f>
        <v>Airfare</v>
      </c>
      <c r="B14" s="214">
        <f>Estimation!E115</f>
        <v>0</v>
      </c>
      <c r="C14" s="212"/>
      <c r="D14" s="214">
        <f>Estimation!J115</f>
        <v>0</v>
      </c>
      <c r="E14" s="214">
        <f>Estimation!L115</f>
        <v>0</v>
      </c>
      <c r="F14" s="214">
        <f>Estimation!N115</f>
        <v>0</v>
      </c>
      <c r="G14" s="214">
        <f>Estimation!P115</f>
        <v>0</v>
      </c>
      <c r="H14" s="214">
        <f>Estimation!R115</f>
        <v>0</v>
      </c>
      <c r="I14" s="214">
        <f>Estimation!T115</f>
        <v>0</v>
      </c>
      <c r="J14" s="214">
        <f>Estimation!V115</f>
        <v>0</v>
      </c>
      <c r="K14" s="214">
        <f>Estimation!X115</f>
        <v>0</v>
      </c>
      <c r="L14" s="214">
        <f>Estimation!Z115</f>
        <v>0</v>
      </c>
      <c r="M14" s="214">
        <f>Estimation!AB115</f>
        <v>0</v>
      </c>
      <c r="N14" s="214">
        <f>Estimation!AD115</f>
        <v>0</v>
      </c>
      <c r="P14" s="227"/>
      <c r="Q14" s="205" t="str">
        <f>IF(N14&gt;0,CONCATENATE(A14,"&amp;\$",B14,"&amp;",C14,IF($D$48&lt;&gt;0,CONCATENATE("&amp;\$",D14),""),IF($E$48&lt;&gt;0,CONCATENATE("&amp;\$",E14),""),IF($F$48&lt;&gt;0,CONCATENATE("&amp;\$",F14),""),IF($G$48&lt;&gt;0,CONCATENATE("&amp;\$",G14),""),IF($H$48&lt;&gt;0,CONCATENATE("&amp;\$",H14),""),"&amp;\$",N14,"\\ \hline"),"")</f>
        <v/>
      </c>
    </row>
    <row r="15" spans="1:23" ht="15.6" customHeight="1" x14ac:dyDescent="0.25">
      <c r="A15" s="204" t="str">
        <f>Estimation!D116</f>
        <v>Lodging</v>
      </c>
      <c r="B15" s="214">
        <f>Estimation!E116</f>
        <v>0</v>
      </c>
      <c r="C15" s="212">
        <f>Estimation!F116</f>
        <v>0</v>
      </c>
      <c r="D15" s="214">
        <f>Estimation!J116</f>
        <v>0</v>
      </c>
      <c r="E15" s="214">
        <f>Estimation!L116</f>
        <v>0</v>
      </c>
      <c r="F15" s="214">
        <f>Estimation!N116</f>
        <v>0</v>
      </c>
      <c r="G15" s="214">
        <f>Estimation!P116</f>
        <v>0</v>
      </c>
      <c r="H15" s="214">
        <f>Estimation!R116</f>
        <v>0</v>
      </c>
      <c r="I15" s="214">
        <f>Estimation!T116</f>
        <v>0</v>
      </c>
      <c r="J15" s="214">
        <f>Estimation!V116</f>
        <v>0</v>
      </c>
      <c r="K15" s="214">
        <f>Estimation!X116</f>
        <v>0</v>
      </c>
      <c r="L15" s="214">
        <f>Estimation!Z116</f>
        <v>0</v>
      </c>
      <c r="M15" s="214">
        <f>Estimation!AB116</f>
        <v>0</v>
      </c>
      <c r="N15" s="214">
        <f>Estimation!AD116</f>
        <v>0</v>
      </c>
      <c r="P15" s="366" t="s">
        <v>282</v>
      </c>
      <c r="Q15" s="205" t="str">
        <f>IF(N15&gt;0,CONCATENATE(A15,"&amp;\$",B15,"&amp;",C15,IF($D$48&lt;&gt;0,CONCATENATE("&amp;\$",D15),""),IF($E$48&lt;&gt;0,CONCATENATE("&amp;\$",E15),""),IF($F$48&lt;&gt;0,CONCATENATE("&amp;\$",F15),""),IF($G$48&lt;&gt;0,CONCATENATE("&amp;\$",G15),""),IF($H$48&lt;&gt;0,CONCATENATE("&amp;\$",H15),""),"&amp;\$",N15,"\\ \hline"),"")</f>
        <v/>
      </c>
    </row>
    <row r="16" spans="1:23" x14ac:dyDescent="0.25">
      <c r="A16" s="204" t="str">
        <f>Estimation!D117</f>
        <v>Per Diem</v>
      </c>
      <c r="B16" s="214">
        <f>Estimation!E117</f>
        <v>0</v>
      </c>
      <c r="C16" s="212">
        <f>Estimation!F117</f>
        <v>0</v>
      </c>
      <c r="D16" s="214">
        <f>Estimation!J117</f>
        <v>0</v>
      </c>
      <c r="E16" s="214">
        <f>Estimation!L117</f>
        <v>0</v>
      </c>
      <c r="F16" s="214">
        <f>Estimation!N117</f>
        <v>0</v>
      </c>
      <c r="G16" s="214">
        <f>Estimation!P117</f>
        <v>0</v>
      </c>
      <c r="H16" s="214">
        <f>Estimation!R117</f>
        <v>0</v>
      </c>
      <c r="I16" s="214">
        <f>Estimation!T117</f>
        <v>0</v>
      </c>
      <c r="J16" s="214">
        <f>Estimation!V117</f>
        <v>0</v>
      </c>
      <c r="K16" s="214">
        <f>Estimation!X117</f>
        <v>0</v>
      </c>
      <c r="L16" s="214">
        <f>Estimation!Z117</f>
        <v>0</v>
      </c>
      <c r="M16" s="214">
        <f>Estimation!AB117</f>
        <v>0</v>
      </c>
      <c r="N16" s="214">
        <f>Estimation!AD117</f>
        <v>0</v>
      </c>
      <c r="P16" s="366"/>
      <c r="Q16" s="205" t="str">
        <f>IF(N16&gt;0,CONCATENATE(A16,"&amp;\$",B16,"&amp;",C16,IF($D$48&lt;&gt;0,CONCATENATE("&amp;\$",D16),""),IF($E$48&lt;&gt;0,CONCATENATE("&amp;\$",E16),""),IF($F$48&lt;&gt;0,CONCATENATE("&amp;\$",F16),""),IF($G$48&lt;&gt;0,CONCATENATE("&amp;\$",G16),""),IF($H$48&lt;&gt;0,CONCATENATE("&amp;\$",H16),""),"&amp;\$",N16,"\\ \hline"),"")</f>
        <v/>
      </c>
    </row>
    <row r="17" spans="1:17" ht="30" x14ac:dyDescent="0.25">
      <c r="A17" s="207" t="str">
        <f>Estimation!D118</f>
        <v>Ground Transportation</v>
      </c>
      <c r="B17" s="214">
        <f>Estimation!E118</f>
        <v>40</v>
      </c>
      <c r="C17" s="212">
        <f>Estimation!F118</f>
        <v>0</v>
      </c>
      <c r="D17" s="214">
        <f>Estimation!J118</f>
        <v>0</v>
      </c>
      <c r="E17" s="214">
        <f>Estimation!L118</f>
        <v>0</v>
      </c>
      <c r="F17" s="214">
        <f>Estimation!N118</f>
        <v>0</v>
      </c>
      <c r="G17" s="214">
        <f>Estimation!P118</f>
        <v>0</v>
      </c>
      <c r="H17" s="214">
        <f>Estimation!R118</f>
        <v>0</v>
      </c>
      <c r="I17" s="214">
        <f>Estimation!T118</f>
        <v>0</v>
      </c>
      <c r="J17" s="214">
        <f>Estimation!V118</f>
        <v>0</v>
      </c>
      <c r="K17" s="214">
        <f>Estimation!X118</f>
        <v>0</v>
      </c>
      <c r="L17" s="214">
        <f>Estimation!Z118</f>
        <v>0</v>
      </c>
      <c r="M17" s="214">
        <f>Estimation!AB118</f>
        <v>0</v>
      </c>
      <c r="N17" s="214">
        <f>Estimation!AD118</f>
        <v>0</v>
      </c>
      <c r="P17" s="366"/>
      <c r="Q17" s="205" t="str">
        <f>IF(N17&gt;0,CONCATENATE(A17,"&amp;\$",B17,"&amp;",C17,IF($D$48&lt;&gt;0,CONCATENATE("&amp;\$",D17),""),IF($E$48&lt;&gt;0,CONCATENATE("&amp;\$",E17),""),IF($F$48&lt;&gt;0,CONCATENATE("&amp;\$",F17),""),IF($G$48&lt;&gt;0,CONCATENATE("&amp;\$",G17),""),IF($H$48&lt;&gt;0,CONCATENATE("&amp;\$",H17),""),"&amp;\$",N17,"\\ \hline"),"")</f>
        <v/>
      </c>
    </row>
    <row r="18" spans="1:17" ht="14.45" customHeight="1" collapsed="1" x14ac:dyDescent="0.25">
      <c r="A18" s="373" t="str">
        <f>+Estimation!C120</f>
        <v>Description</v>
      </c>
      <c r="B18" s="373"/>
      <c r="C18" s="373"/>
      <c r="D18" s="373"/>
      <c r="E18" s="373"/>
      <c r="F18" s="373"/>
      <c r="G18" s="373"/>
      <c r="H18" s="373"/>
      <c r="I18" s="373"/>
      <c r="J18" s="373"/>
      <c r="K18" s="373"/>
      <c r="L18" s="373"/>
      <c r="M18" s="373"/>
      <c r="N18" s="373"/>
      <c r="P18" s="366"/>
      <c r="Q18" t="str">
        <f>IF(SUM(D19:N22)&lt;&gt;0,CONCATENATE("\multicolumn{",$R$1,"}{c}{",A18,"} \\ \hline" ),"")</f>
        <v/>
      </c>
    </row>
    <row r="19" spans="1:17" x14ac:dyDescent="0.25">
      <c r="A19" s="204" t="str">
        <f>Estimation!D121</f>
        <v>Airfare</v>
      </c>
      <c r="B19" s="214">
        <f>Estimation!E121</f>
        <v>0</v>
      </c>
      <c r="C19" s="212"/>
      <c r="D19" s="214">
        <f>Estimation!J121</f>
        <v>0</v>
      </c>
      <c r="E19" s="214">
        <f>Estimation!L121</f>
        <v>0</v>
      </c>
      <c r="F19" s="214">
        <f>Estimation!N121</f>
        <v>0</v>
      </c>
      <c r="G19" s="214">
        <f>Estimation!P121</f>
        <v>0</v>
      </c>
      <c r="H19" s="214">
        <f>Estimation!R121</f>
        <v>0</v>
      </c>
      <c r="I19" s="214">
        <f>Estimation!T121</f>
        <v>0</v>
      </c>
      <c r="J19" s="214">
        <f>Estimation!V121</f>
        <v>0</v>
      </c>
      <c r="K19" s="214">
        <f>Estimation!X121</f>
        <v>0</v>
      </c>
      <c r="L19" s="214">
        <f>Estimation!Z121</f>
        <v>0</v>
      </c>
      <c r="M19" s="214">
        <f>Estimation!AB121</f>
        <v>0</v>
      </c>
      <c r="N19" s="214">
        <f>Estimation!AD121</f>
        <v>0</v>
      </c>
      <c r="P19" s="366"/>
      <c r="Q19" s="205" t="str">
        <f>IF(N19&gt;0,CONCATENATE(A19,"&amp;\$",B19,"&amp;",C19,IF($D$48&lt;&gt;0,CONCATENATE("&amp;\$",D19),""),IF($E$48&lt;&gt;0,CONCATENATE("&amp;\$",E19),""),IF($F$48&lt;&gt;0,CONCATENATE("&amp;\$",F19),""),IF($G$48&lt;&gt;0,CONCATENATE("&amp;\$",G19),""),IF($H$48&lt;&gt;0,CONCATENATE("&amp;\$",H19),""),"&amp;\$",N19,"\\ \hline"),"")</f>
        <v/>
      </c>
    </row>
    <row r="20" spans="1:17" x14ac:dyDescent="0.25">
      <c r="A20" s="204" t="str">
        <f>Estimation!D122</f>
        <v>Lodging</v>
      </c>
      <c r="B20" s="214">
        <f>Estimation!E122</f>
        <v>0</v>
      </c>
      <c r="C20" s="212">
        <f>Estimation!F122</f>
        <v>0</v>
      </c>
      <c r="D20" s="214">
        <f>Estimation!J122</f>
        <v>0</v>
      </c>
      <c r="E20" s="214">
        <f>Estimation!L122</f>
        <v>0</v>
      </c>
      <c r="F20" s="214">
        <f>Estimation!N122</f>
        <v>0</v>
      </c>
      <c r="G20" s="214">
        <f>Estimation!P122</f>
        <v>0</v>
      </c>
      <c r="H20" s="214">
        <f>Estimation!R122</f>
        <v>0</v>
      </c>
      <c r="I20" s="214">
        <f>Estimation!T122</f>
        <v>0</v>
      </c>
      <c r="J20" s="214">
        <f>Estimation!V122</f>
        <v>0</v>
      </c>
      <c r="K20" s="214">
        <f>Estimation!X122</f>
        <v>0</v>
      </c>
      <c r="L20" s="214">
        <f>Estimation!Z122</f>
        <v>0</v>
      </c>
      <c r="M20" s="214">
        <f>Estimation!AB122</f>
        <v>0</v>
      </c>
      <c r="N20" s="214">
        <f>Estimation!AD122</f>
        <v>0</v>
      </c>
      <c r="P20" s="224"/>
      <c r="Q20" s="205" t="str">
        <f>IF(N20&gt;0,CONCATENATE(A20,"&amp;\$",B20,"&amp;",C20,IF($D$48&lt;&gt;0,CONCATENATE("&amp;\$",D20),""),IF($E$48&lt;&gt;0,CONCATENATE("&amp;\$",E20),""),IF($F$48&lt;&gt;0,CONCATENATE("&amp;\$",F20),""),IF($G$48&lt;&gt;0,CONCATENATE("&amp;\$",G20),""),IF($H$48&lt;&gt;0,CONCATENATE("&amp;\$",H20),""),"&amp;\$",N20,"\\ \hline"),"")</f>
        <v/>
      </c>
    </row>
    <row r="21" spans="1:17" x14ac:dyDescent="0.25">
      <c r="A21" s="204" t="str">
        <f>Estimation!D123</f>
        <v>Per Diem</v>
      </c>
      <c r="B21" s="214">
        <f>Estimation!E123</f>
        <v>0</v>
      </c>
      <c r="C21" s="212">
        <f>Estimation!F123</f>
        <v>0</v>
      </c>
      <c r="D21" s="214">
        <f>Estimation!J123</f>
        <v>0</v>
      </c>
      <c r="E21" s="214">
        <f>Estimation!L123</f>
        <v>0</v>
      </c>
      <c r="F21" s="214">
        <f>Estimation!N123</f>
        <v>0</v>
      </c>
      <c r="G21" s="214">
        <f>Estimation!P123</f>
        <v>0</v>
      </c>
      <c r="H21" s="214">
        <f>Estimation!R123</f>
        <v>0</v>
      </c>
      <c r="I21" s="214">
        <f>Estimation!T123</f>
        <v>0</v>
      </c>
      <c r="J21" s="214">
        <f>Estimation!V123</f>
        <v>0</v>
      </c>
      <c r="K21" s="214">
        <f>Estimation!X123</f>
        <v>0</v>
      </c>
      <c r="L21" s="214">
        <f>Estimation!Z123</f>
        <v>0</v>
      </c>
      <c r="M21" s="214">
        <f>Estimation!AB123</f>
        <v>0</v>
      </c>
      <c r="N21" s="214">
        <f>Estimation!AD123</f>
        <v>0</v>
      </c>
      <c r="Q21" s="205" t="str">
        <f>IF(N21&gt;0,CONCATENATE(A21,"&amp;\$",B21,"&amp;",C21,IF($D$48&lt;&gt;0,CONCATENATE("&amp;\$",D21),""),IF($E$48&lt;&gt;0,CONCATENATE("&amp;\$",E21),""),IF($F$48&lt;&gt;0,CONCATENATE("&amp;\$",F21),""),IF($G$48&lt;&gt;0,CONCATENATE("&amp;\$",G21),""),IF($H$48&lt;&gt;0,CONCATENATE("&amp;\$",H21),""),"&amp;\$",N21,"\\ \hline"),"")</f>
        <v/>
      </c>
    </row>
    <row r="22" spans="1:17" ht="30" x14ac:dyDescent="0.25">
      <c r="A22" s="207" t="str">
        <f>Estimation!D124</f>
        <v>Ground Transportation</v>
      </c>
      <c r="B22" s="214">
        <f>Estimation!E124</f>
        <v>40</v>
      </c>
      <c r="C22" s="212">
        <f>Estimation!F124</f>
        <v>0</v>
      </c>
      <c r="D22" s="214">
        <f>Estimation!J124</f>
        <v>0</v>
      </c>
      <c r="E22" s="214">
        <f>Estimation!L124</f>
        <v>0</v>
      </c>
      <c r="F22" s="214">
        <f>Estimation!N124</f>
        <v>0</v>
      </c>
      <c r="G22" s="214">
        <f>Estimation!P124</f>
        <v>0</v>
      </c>
      <c r="H22" s="214">
        <f>Estimation!R124</f>
        <v>0</v>
      </c>
      <c r="I22" s="214">
        <f>Estimation!T124</f>
        <v>0</v>
      </c>
      <c r="J22" s="214">
        <f>Estimation!V124</f>
        <v>0</v>
      </c>
      <c r="K22" s="214">
        <f>Estimation!X124</f>
        <v>0</v>
      </c>
      <c r="L22" s="214">
        <f>Estimation!Z124</f>
        <v>0</v>
      </c>
      <c r="M22" s="214">
        <f>Estimation!AB124</f>
        <v>0</v>
      </c>
      <c r="N22" s="214">
        <f>Estimation!AD124</f>
        <v>0</v>
      </c>
      <c r="P22" s="225" t="s">
        <v>319</v>
      </c>
      <c r="Q22" s="205" t="str">
        <f>IF(N22&gt;0,CONCATENATE(A22,"&amp;\$",B22,"&amp;",C22,IF($D$48&lt;&gt;0,CONCATENATE("&amp;\$",D22),""),IF($E$48&lt;&gt;0,CONCATENATE("&amp;\$",E22),""),IF($F$48&lt;&gt;0,CONCATENATE("&amp;\$",F22),""),IF($G$48&lt;&gt;0,CONCATENATE("&amp;\$",G22),""),IF($H$48&lt;&gt;0,CONCATENATE("&amp;\$",H22),""),"&amp;\$",N22,"\\ \hline"),"")</f>
        <v/>
      </c>
    </row>
    <row r="23" spans="1:17" ht="15.6" customHeight="1" outlineLevel="1" x14ac:dyDescent="0.25">
      <c r="A23" s="370" t="str">
        <f>Estimation!D127</f>
        <v>Description</v>
      </c>
      <c r="B23" s="371"/>
      <c r="C23" s="371"/>
      <c r="D23" s="371"/>
      <c r="E23" s="371"/>
      <c r="F23" s="371"/>
      <c r="G23" s="371"/>
      <c r="H23" s="371"/>
      <c r="I23" s="371"/>
      <c r="J23" s="371"/>
      <c r="K23" s="371"/>
      <c r="L23" s="371"/>
      <c r="M23" s="371"/>
      <c r="N23" s="372"/>
      <c r="P23" s="374" t="s">
        <v>320</v>
      </c>
      <c r="Q23" t="str">
        <f>IF(SUM(D24:N25)&lt;&gt;0,CONCATENATE("\multicolumn{",$R$1,"}{c}{",A23,"} \\ \hline" ),"")</f>
        <v/>
      </c>
    </row>
    <row r="24" spans="1:17" ht="42.75" outlineLevel="1" x14ac:dyDescent="0.25">
      <c r="A24" s="204" t="str">
        <f>+Estimation!C126</f>
        <v>Mileage</v>
      </c>
      <c r="B24" s="221" t="str">
        <f>+Estimation!E126</f>
        <v>Cost</v>
      </c>
      <c r="C24" s="223" t="s">
        <v>280</v>
      </c>
      <c r="D24" s="204"/>
      <c r="E24" s="204"/>
      <c r="F24" s="204"/>
      <c r="G24" s="204"/>
      <c r="H24" s="204"/>
      <c r="I24" s="204"/>
      <c r="J24" s="204"/>
      <c r="K24" s="204"/>
      <c r="L24" s="204"/>
      <c r="M24" s="204"/>
      <c r="N24" s="204"/>
      <c r="P24" s="374"/>
      <c r="Q24" s="205" t="str">
        <f>IF(N25&gt;0,CONCATENATE(A24,"&amp;",B24,"&amp;\",C24,REPT("&amp;",$R$1-3),N24,"\\ \hline"),"")</f>
        <v/>
      </c>
    </row>
    <row r="25" spans="1:17" outlineLevel="1" x14ac:dyDescent="0.25">
      <c r="A25" s="204" t="str">
        <f>Estimation!D127</f>
        <v>Description</v>
      </c>
      <c r="B25" s="215">
        <f>Estimation!E127</f>
        <v>0.6</v>
      </c>
      <c r="C25" s="212">
        <f>Estimation!F127</f>
        <v>0</v>
      </c>
      <c r="D25" s="214">
        <f>Estimation!J127</f>
        <v>0</v>
      </c>
      <c r="E25" s="214">
        <f>Estimation!L127</f>
        <v>0</v>
      </c>
      <c r="F25" s="214">
        <f>Estimation!N127</f>
        <v>0</v>
      </c>
      <c r="G25" s="214">
        <f>Estimation!P127</f>
        <v>0</v>
      </c>
      <c r="H25" s="214">
        <f>Estimation!R127</f>
        <v>0</v>
      </c>
      <c r="I25" s="214">
        <f>Estimation!T127</f>
        <v>0</v>
      </c>
      <c r="J25" s="214">
        <f>Estimation!V127</f>
        <v>0</v>
      </c>
      <c r="K25" s="214">
        <f>Estimation!X127</f>
        <v>0</v>
      </c>
      <c r="L25" s="214">
        <f>Estimation!Z127</f>
        <v>0</v>
      </c>
      <c r="M25" s="214">
        <f>Estimation!AB127</f>
        <v>0</v>
      </c>
      <c r="N25" s="214">
        <f>Estimation!AD127</f>
        <v>0</v>
      </c>
      <c r="P25" s="374"/>
      <c r="Q25" s="205" t="str">
        <f>IF(N25&gt;0,CONCATENATE(A25,"&amp;\$",B25,"&amp;",C25,IF($D$48&lt;&gt;0,CONCATENATE("&amp;\$",D25),""),IF($E$48&lt;&gt;0,CONCATENATE("&amp;\$",E25),""),IF($F$48&lt;&gt;0,CONCATENATE("&amp;\$",F25),""),IF($G$48&lt;&gt;0,CONCATENATE("&amp;\$",G25),""),IF($H$48&lt;&gt;0,CONCATENATE("&amp;\$",H25),""),"&amp;\$",N25,"\\ \hline"),"")</f>
        <v/>
      </c>
    </row>
    <row r="26" spans="1:17" ht="9" customHeight="1" x14ac:dyDescent="0.25">
      <c r="A26" s="367"/>
      <c r="B26" s="368"/>
      <c r="C26" s="368"/>
      <c r="D26" s="368"/>
      <c r="E26" s="368"/>
      <c r="F26" s="368"/>
      <c r="G26" s="368"/>
      <c r="H26" s="368"/>
      <c r="I26" s="368"/>
      <c r="J26" s="368"/>
      <c r="K26" s="368"/>
      <c r="L26" s="368"/>
      <c r="M26" s="368"/>
      <c r="N26" s="369"/>
      <c r="P26" s="374"/>
    </row>
    <row r="27" spans="1:17" ht="15.6" customHeight="1" x14ac:dyDescent="0.25">
      <c r="A27" s="375" t="str">
        <f>Estimation!H129</f>
        <v>Subtotal Domestic Travel</v>
      </c>
      <c r="B27" s="376"/>
      <c r="C27" s="376"/>
      <c r="D27" s="216">
        <f>Estimation!J129</f>
        <v>0</v>
      </c>
      <c r="E27" s="216">
        <f>Estimation!L129</f>
        <v>0</v>
      </c>
      <c r="F27" s="216">
        <f>Estimation!N129</f>
        <v>0</v>
      </c>
      <c r="G27" s="216">
        <f>Estimation!P129</f>
        <v>0</v>
      </c>
      <c r="H27" s="216">
        <f>Estimation!R129</f>
        <v>0</v>
      </c>
      <c r="I27" s="216">
        <f>Estimation!T129</f>
        <v>0</v>
      </c>
      <c r="J27" s="216">
        <f>Estimation!V129</f>
        <v>0</v>
      </c>
      <c r="K27" s="216">
        <f>Estimation!X129</f>
        <v>0</v>
      </c>
      <c r="L27" s="216">
        <f>Estimation!Z129</f>
        <v>0</v>
      </c>
      <c r="M27" s="216">
        <f>Estimation!AB129</f>
        <v>0</v>
      </c>
      <c r="N27" s="216">
        <f>Estimation!AD129</f>
        <v>0</v>
      </c>
      <c r="P27" s="374"/>
      <c r="Q27" s="205" t="str">
        <f>IF(N27&gt;0,CONCATENATE("\multicolumn{3}{l}{\textbf{",A27,"}}",IF($D$48&lt;&gt;0,CONCATENATE("&amp;\$",D27),""),IF($E$48&lt;&gt;0,CONCATENATE("&amp;\$",E27),""),IF($F$48&lt;&gt;0,CONCATENATE("&amp;\$",F27),""),IF($G$48&lt;&gt;0,CONCATENATE("&amp;\$",G27),""),IF($H$48&lt;&gt;0,CONCATENATE("&amp;\$",H27),""),"&amp;\$",N27,"\\ \hline"),"")</f>
        <v/>
      </c>
    </row>
    <row r="28" spans="1:17" ht="6" customHeight="1" x14ac:dyDescent="0.25">
      <c r="A28" s="208"/>
      <c r="B28" s="209"/>
      <c r="C28" s="209"/>
      <c r="D28" s="209"/>
      <c r="E28" s="209"/>
      <c r="F28" s="209"/>
      <c r="G28" s="209"/>
      <c r="H28" s="209"/>
      <c r="I28" s="209"/>
      <c r="J28" s="209"/>
      <c r="K28" s="209"/>
      <c r="L28" s="209"/>
      <c r="M28" s="209"/>
      <c r="N28" s="210"/>
      <c r="P28" s="228"/>
    </row>
    <row r="29" spans="1:17" ht="27" customHeight="1" outlineLevel="1" collapsed="1" x14ac:dyDescent="0.25">
      <c r="A29" s="222" t="str">
        <f>+Estimation!C131</f>
        <v>International</v>
      </c>
      <c r="B29" s="219" t="s">
        <v>277</v>
      </c>
      <c r="C29" s="219" t="s">
        <v>278</v>
      </c>
      <c r="D29" s="220" t="str">
        <f>Estimation!$J$18</f>
        <v>Year 1</v>
      </c>
      <c r="E29" s="220" t="str">
        <f>Estimation!$L$18</f>
        <v>Year 2</v>
      </c>
      <c r="F29" s="220" t="str">
        <f>Estimation!$N$18</f>
        <v>Year 3</v>
      </c>
      <c r="G29" s="220" t="str">
        <f>Estimation!$P$18</f>
        <v>Year 4</v>
      </c>
      <c r="H29" s="220" t="str">
        <f>Estimation!$R$18</f>
        <v>Year 5</v>
      </c>
      <c r="I29" s="220" t="str">
        <f>Estimation!$T$18</f>
        <v>Year 6</v>
      </c>
      <c r="J29" s="220" t="str">
        <f>Estimation!$V$18</f>
        <v>Year 7</v>
      </c>
      <c r="K29" s="220" t="str">
        <f>Estimation!$X$18</f>
        <v>Year 8</v>
      </c>
      <c r="L29" s="220" t="str">
        <f>Estimation!$Z$18</f>
        <v>Year 9</v>
      </c>
      <c r="M29" s="220" t="str">
        <f>Estimation!$AB$18</f>
        <v>Year 10</v>
      </c>
      <c r="N29" s="221" t="str">
        <f>Estimation!AD18</f>
        <v>Total</v>
      </c>
      <c r="P29" s="374" t="s">
        <v>322</v>
      </c>
      <c r="Q29" t="str">
        <f>IF(N46&gt;0,CONCATENATE(A29,"&amp;",B29,"&amp;\",C29,IF($D$48&lt;&gt;0,CONCATENATE("&amp;",D29),""),IF($E$48&lt;&gt;0,CONCATENATE("&amp;",E29),""),IF($F$48&lt;&gt;0,CONCATENATE("&amp;",F29),""),IF($G$48&lt;&gt;0,CONCATENATE("&amp;",G29),""),IF($H$48&lt;&gt;0,CONCATENATE("&amp;",H29),""),"&amp;",N29,"\\ \hline"),"")</f>
        <v/>
      </c>
    </row>
    <row r="30" spans="1:17" outlineLevel="1" x14ac:dyDescent="0.25">
      <c r="A30" s="373" t="str">
        <f>+Estimation!C132</f>
        <v>Description</v>
      </c>
      <c r="B30" s="373"/>
      <c r="C30" s="373"/>
      <c r="D30" s="373"/>
      <c r="E30" s="373"/>
      <c r="F30" s="373"/>
      <c r="G30" s="373"/>
      <c r="H30" s="373"/>
      <c r="I30" s="373"/>
      <c r="J30" s="373"/>
      <c r="K30" s="373"/>
      <c r="L30" s="373"/>
      <c r="M30" s="373"/>
      <c r="N30" s="373"/>
      <c r="P30" s="374"/>
      <c r="Q30" t="str">
        <f>IF(SUM(D31:N32)&lt;&gt;0,CONCATENATE("\multicolumn{",$R$1,"}{c}{",A30,"} \\ \hline" ),"")</f>
        <v/>
      </c>
    </row>
    <row r="31" spans="1:17" ht="15.6" customHeight="1" outlineLevel="1" x14ac:dyDescent="0.25">
      <c r="A31" s="204" t="str">
        <f>Estimation!D133</f>
        <v>Airfare</v>
      </c>
      <c r="B31" s="214">
        <f>Estimation!E133</f>
        <v>0</v>
      </c>
      <c r="C31" s="212"/>
      <c r="D31" s="214">
        <f>Estimation!J133</f>
        <v>0</v>
      </c>
      <c r="E31" s="214">
        <f>Estimation!L133</f>
        <v>0</v>
      </c>
      <c r="F31" s="214">
        <f>Estimation!N133</f>
        <v>0</v>
      </c>
      <c r="G31" s="214">
        <f>Estimation!P133</f>
        <v>0</v>
      </c>
      <c r="H31" s="214">
        <f>Estimation!R133</f>
        <v>0</v>
      </c>
      <c r="I31" s="214">
        <f>Estimation!T133</f>
        <v>0</v>
      </c>
      <c r="J31" s="214">
        <f>Estimation!V133</f>
        <v>0</v>
      </c>
      <c r="K31" s="214">
        <f>Estimation!X133</f>
        <v>0</v>
      </c>
      <c r="L31" s="214">
        <f>Estimation!Z133</f>
        <v>0</v>
      </c>
      <c r="M31" s="214">
        <f>Estimation!AB133</f>
        <v>0</v>
      </c>
      <c r="N31" s="214">
        <f>Estimation!AD133</f>
        <v>0</v>
      </c>
      <c r="P31" s="374" t="s">
        <v>321</v>
      </c>
      <c r="Q31" s="205" t="str">
        <f>IF(N31&gt;0,CONCATENATE(A31,"&amp;\$",B31,"&amp;",C31,IF($D$48&lt;&gt;0,CONCATENATE("&amp;\$",D31),""),IF($E$48&lt;&gt;0,CONCATENATE("&amp;\$",E31),""),IF($F$48&lt;&gt;0,CONCATENATE("&amp;\$",F31),""),IF($G$48&lt;&gt;0,CONCATENATE("&amp;\$",G31),""),IF($H$48&lt;&gt;0,CONCATENATE("&amp;\$",H31),""),"&amp;\$",N31,"\\ \hline"),"")</f>
        <v/>
      </c>
    </row>
    <row r="32" spans="1:17" ht="15.95" customHeight="1" outlineLevel="1" x14ac:dyDescent="0.25">
      <c r="A32" s="204" t="str">
        <f>Estimation!D134</f>
        <v>Lodging</v>
      </c>
      <c r="B32" s="214">
        <f>Estimation!E134</f>
        <v>0</v>
      </c>
      <c r="C32" s="212">
        <f>Estimation!F134</f>
        <v>0</v>
      </c>
      <c r="D32" s="214">
        <f>Estimation!J134</f>
        <v>0</v>
      </c>
      <c r="E32" s="214">
        <f>Estimation!L134</f>
        <v>0</v>
      </c>
      <c r="F32" s="214">
        <f>Estimation!N134</f>
        <v>0</v>
      </c>
      <c r="G32" s="214">
        <f>Estimation!P134</f>
        <v>0</v>
      </c>
      <c r="H32" s="214">
        <f>Estimation!R134</f>
        <v>0</v>
      </c>
      <c r="I32" s="214">
        <f>Estimation!T134</f>
        <v>0</v>
      </c>
      <c r="J32" s="214">
        <f>Estimation!V134</f>
        <v>0</v>
      </c>
      <c r="K32" s="214">
        <f>Estimation!X134</f>
        <v>0</v>
      </c>
      <c r="L32" s="214">
        <f>Estimation!Z134</f>
        <v>0</v>
      </c>
      <c r="M32" s="214">
        <f>Estimation!AB134</f>
        <v>0</v>
      </c>
      <c r="N32" s="214">
        <f>Estimation!AD134</f>
        <v>0</v>
      </c>
      <c r="P32" s="374"/>
      <c r="Q32" s="205" t="str">
        <f>IF(N32&gt;0,CONCATENATE(A32,"&amp;\$",B32,"&amp;",C32,IF($D$48&lt;&gt;0,CONCATENATE("&amp;\$",D32),""),IF($E$48&lt;&gt;0,CONCATENATE("&amp;\$",E32),""),IF($F$48&lt;&gt;0,CONCATENATE("&amp;\$",F32),""),IF($G$48&lt;&gt;0,CONCATENATE("&amp;\$",G32),""),IF($H$48&lt;&gt;0,CONCATENATE("&amp;\$",H32),""),"&amp;\$",N32,"\\ \hline"),"")</f>
        <v/>
      </c>
    </row>
    <row r="33" spans="1:17" outlineLevel="1" x14ac:dyDescent="0.25">
      <c r="A33" s="204" t="str">
        <f>Estimation!D135</f>
        <v>Per Diem</v>
      </c>
      <c r="B33" s="214">
        <f>Estimation!E135</f>
        <v>0</v>
      </c>
      <c r="C33" s="212">
        <f>Estimation!F135</f>
        <v>0</v>
      </c>
      <c r="D33" s="214">
        <f>Estimation!J135</f>
        <v>0</v>
      </c>
      <c r="E33" s="214">
        <f>Estimation!L135</f>
        <v>0</v>
      </c>
      <c r="F33" s="214">
        <f>Estimation!N135</f>
        <v>0</v>
      </c>
      <c r="G33" s="214">
        <f>Estimation!P135</f>
        <v>0</v>
      </c>
      <c r="H33" s="214">
        <f>Estimation!R135</f>
        <v>0</v>
      </c>
      <c r="I33" s="214">
        <f>Estimation!T135</f>
        <v>0</v>
      </c>
      <c r="J33" s="214">
        <f>Estimation!V135</f>
        <v>0</v>
      </c>
      <c r="K33" s="214">
        <f>Estimation!X135</f>
        <v>0</v>
      </c>
      <c r="L33" s="214">
        <f>Estimation!Z135</f>
        <v>0</v>
      </c>
      <c r="M33" s="214">
        <f>Estimation!AB135</f>
        <v>0</v>
      </c>
      <c r="N33" s="214">
        <f>Estimation!AD135</f>
        <v>0</v>
      </c>
      <c r="P33" s="228"/>
      <c r="Q33" s="205" t="str">
        <f>IF(N33&gt;0,CONCATENATE(A33,"&amp;\$",B33,"&amp;",C33,IF($D$48&lt;&gt;0,CONCATENATE("&amp;\$",D33),""),IF($E$48&lt;&gt;0,CONCATENATE("&amp;\$",E33),""),IF($F$48&lt;&gt;0,CONCATENATE("&amp;\$",F33),""),IF($G$48&lt;&gt;0,CONCATENATE("&amp;\$",G33),""),IF($H$48&lt;&gt;0,CONCATENATE("&amp;\$",H33),""),"&amp;\$",N33,"\\ \hline"),"")</f>
        <v/>
      </c>
    </row>
    <row r="34" spans="1:17" ht="30" outlineLevel="1" x14ac:dyDescent="0.25">
      <c r="A34" s="207" t="str">
        <f>Estimation!D136</f>
        <v>Ground Transportation</v>
      </c>
      <c r="B34" s="214">
        <f>Estimation!E136</f>
        <v>40</v>
      </c>
      <c r="C34" s="212">
        <f>Estimation!F136</f>
        <v>0</v>
      </c>
      <c r="D34" s="214">
        <f>Estimation!J136</f>
        <v>0</v>
      </c>
      <c r="E34" s="214">
        <f>Estimation!L136</f>
        <v>0</v>
      </c>
      <c r="F34" s="214">
        <f>Estimation!N136</f>
        <v>0</v>
      </c>
      <c r="G34" s="214">
        <f>Estimation!P136</f>
        <v>0</v>
      </c>
      <c r="H34" s="214">
        <f>Estimation!R136</f>
        <v>0</v>
      </c>
      <c r="I34" s="214">
        <f>Estimation!T136</f>
        <v>0</v>
      </c>
      <c r="J34" s="214">
        <f>Estimation!V136</f>
        <v>0</v>
      </c>
      <c r="K34" s="214">
        <f>Estimation!X136</f>
        <v>0</v>
      </c>
      <c r="L34" s="214">
        <f>Estimation!Z136</f>
        <v>0</v>
      </c>
      <c r="M34" s="214">
        <f>Estimation!AB136</f>
        <v>0</v>
      </c>
      <c r="N34" s="214">
        <f>Estimation!AD136</f>
        <v>0</v>
      </c>
      <c r="Q34" s="205" t="str">
        <f>IF(N34&gt;0,CONCATENATE(A34,"&amp;\$",B34,"&amp;",C34,IF($D$48&lt;&gt;0,CONCATENATE("&amp;\$",D34),""),IF($E$48&lt;&gt;0,CONCATENATE("&amp;\$",E34),""),IF($F$48&lt;&gt;0,CONCATENATE("&amp;\$",F34),""),IF($G$48&lt;&gt;0,CONCATENATE("&amp;\$",G34),""),IF($H$48&lt;&gt;0,CONCATENATE("&amp;\$",H34),""),"&amp;\$",N34,"\\ \hline"),"")</f>
        <v/>
      </c>
    </row>
    <row r="35" spans="1:17" outlineLevel="1" x14ac:dyDescent="0.25">
      <c r="A35" s="373" t="str">
        <f>+Estimation!C138</f>
        <v>Description</v>
      </c>
      <c r="B35" s="373"/>
      <c r="C35" s="373"/>
      <c r="D35" s="373"/>
      <c r="E35" s="373"/>
      <c r="F35" s="373"/>
      <c r="G35" s="373"/>
      <c r="H35" s="373"/>
      <c r="I35" s="373"/>
      <c r="J35" s="373"/>
      <c r="K35" s="373"/>
      <c r="L35" s="373"/>
      <c r="M35" s="373"/>
      <c r="N35" s="373"/>
      <c r="Q35" t="str">
        <f>IF(SUM(D36:N37)&lt;&gt;0,CONCATENATE("\multicolumn{",$R$1,"}{c}{",A35,"} \\ \hline" ),"")</f>
        <v/>
      </c>
    </row>
    <row r="36" spans="1:17" outlineLevel="1" x14ac:dyDescent="0.25">
      <c r="A36" s="204" t="str">
        <f>Estimation!D139</f>
        <v>Airfare</v>
      </c>
      <c r="B36" s="214">
        <f>Estimation!E139</f>
        <v>0</v>
      </c>
      <c r="C36" s="212"/>
      <c r="D36" s="214">
        <f>Estimation!J139</f>
        <v>0</v>
      </c>
      <c r="E36" s="214">
        <f>Estimation!L139</f>
        <v>0</v>
      </c>
      <c r="F36" s="214">
        <f>Estimation!N139</f>
        <v>0</v>
      </c>
      <c r="G36" s="214">
        <f>Estimation!P139</f>
        <v>0</v>
      </c>
      <c r="H36" s="214">
        <f>Estimation!R139</f>
        <v>0</v>
      </c>
      <c r="I36" s="214">
        <f>Estimation!T139</f>
        <v>0</v>
      </c>
      <c r="J36" s="214">
        <f>Estimation!V139</f>
        <v>0</v>
      </c>
      <c r="K36" s="214">
        <f>Estimation!X139</f>
        <v>0</v>
      </c>
      <c r="L36" s="214">
        <f>Estimation!Z139</f>
        <v>0</v>
      </c>
      <c r="M36" s="214">
        <f>Estimation!AB139</f>
        <v>0</v>
      </c>
      <c r="N36" s="214">
        <f>Estimation!AD139</f>
        <v>0</v>
      </c>
      <c r="Q36" s="205" t="str">
        <f>IF(N36&gt;0,CONCATENATE(A36,"&amp;\$",B36,"&amp;",C36,IF($D$48&lt;&gt;0,CONCATENATE("&amp;\$",D36),""),IF($E$48&lt;&gt;0,CONCATENATE("&amp;\$",E36),""),IF($F$48&lt;&gt;0,CONCATENATE("&amp;\$",F36),""),IF($G$48&lt;&gt;0,CONCATENATE("&amp;\$",G36),""),IF($H$48&lt;&gt;0,CONCATENATE("&amp;\$",H36),""),"&amp;\$",N36,"\\ \hline"),"")</f>
        <v/>
      </c>
    </row>
    <row r="37" spans="1:17" outlineLevel="1" x14ac:dyDescent="0.25">
      <c r="A37" s="204" t="str">
        <f>Estimation!D140</f>
        <v>Lodging</v>
      </c>
      <c r="B37" s="214">
        <f>Estimation!E140</f>
        <v>0</v>
      </c>
      <c r="C37" s="212">
        <f>Estimation!F140</f>
        <v>0</v>
      </c>
      <c r="D37" s="214">
        <f>Estimation!J140</f>
        <v>0</v>
      </c>
      <c r="E37" s="214">
        <f>Estimation!L140</f>
        <v>0</v>
      </c>
      <c r="F37" s="214">
        <f>Estimation!N140</f>
        <v>0</v>
      </c>
      <c r="G37" s="214">
        <f>Estimation!P140</f>
        <v>0</v>
      </c>
      <c r="H37" s="214">
        <f>Estimation!R140</f>
        <v>0</v>
      </c>
      <c r="I37" s="214">
        <f>Estimation!T140</f>
        <v>0</v>
      </c>
      <c r="J37" s="214">
        <f>Estimation!V140</f>
        <v>0</v>
      </c>
      <c r="K37" s="214">
        <f>Estimation!X140</f>
        <v>0</v>
      </c>
      <c r="L37" s="214">
        <f>Estimation!Z140</f>
        <v>0</v>
      </c>
      <c r="M37" s="214">
        <f>Estimation!AB140</f>
        <v>0</v>
      </c>
      <c r="N37" s="214">
        <f>Estimation!AD140</f>
        <v>0</v>
      </c>
      <c r="Q37" s="205" t="str">
        <f>IF(N37&gt;0,CONCATENATE(A37,"&amp;\$",B37,"&amp;",C37,IF($D$48&lt;&gt;0,CONCATENATE("&amp;\$",D37),""),IF($E$48&lt;&gt;0,CONCATENATE("&amp;\$",E37),""),IF($F$48&lt;&gt;0,CONCATENATE("&amp;\$",F37),""),IF($G$48&lt;&gt;0,CONCATENATE("&amp;\$",G37),""),IF($H$48&lt;&gt;0,CONCATENATE("&amp;\$",H37),""),"&amp;\$",N37,"\\ \hline"),"")</f>
        <v/>
      </c>
    </row>
    <row r="38" spans="1:17" outlineLevel="1" x14ac:dyDescent="0.25">
      <c r="A38" s="204" t="str">
        <f>Estimation!D141</f>
        <v>Per Diem</v>
      </c>
      <c r="B38" s="214">
        <f>Estimation!E141</f>
        <v>0</v>
      </c>
      <c r="C38" s="212">
        <f>Estimation!F141</f>
        <v>0</v>
      </c>
      <c r="D38" s="214">
        <f>Estimation!J141</f>
        <v>0</v>
      </c>
      <c r="E38" s="214">
        <f>Estimation!L141</f>
        <v>0</v>
      </c>
      <c r="F38" s="214">
        <f>Estimation!N141</f>
        <v>0</v>
      </c>
      <c r="G38" s="214">
        <f>Estimation!P141</f>
        <v>0</v>
      </c>
      <c r="H38" s="214">
        <f>Estimation!R141</f>
        <v>0</v>
      </c>
      <c r="I38" s="214">
        <f>Estimation!T141</f>
        <v>0</v>
      </c>
      <c r="J38" s="214">
        <f>Estimation!V141</f>
        <v>0</v>
      </c>
      <c r="K38" s="214">
        <f>Estimation!X141</f>
        <v>0</v>
      </c>
      <c r="L38" s="214">
        <f>Estimation!Z141</f>
        <v>0</v>
      </c>
      <c r="M38" s="214">
        <f>Estimation!AB141</f>
        <v>0</v>
      </c>
      <c r="N38" s="214">
        <f>Estimation!AD141</f>
        <v>0</v>
      </c>
      <c r="Q38" s="205" t="str">
        <f>IF(N38&gt;0,CONCATENATE(A38,"&amp;\$",B38,"&amp;",C38,IF($D$48&lt;&gt;0,CONCATENATE("&amp;\$",D38),""),IF($E$48&lt;&gt;0,CONCATENATE("&amp;\$",E38),""),IF($F$48&lt;&gt;0,CONCATENATE("&amp;\$",F38),""),IF($G$48&lt;&gt;0,CONCATENATE("&amp;\$",G38),""),IF($H$48&lt;&gt;0,CONCATENATE("&amp;\$",H38),""),"&amp;\$",N38,"\\ \hline"),"")</f>
        <v/>
      </c>
    </row>
    <row r="39" spans="1:17" ht="30" outlineLevel="1" x14ac:dyDescent="0.25">
      <c r="A39" s="207" t="str">
        <f>Estimation!D142</f>
        <v>Ground Transportation</v>
      </c>
      <c r="B39" s="214">
        <f>Estimation!E142</f>
        <v>40</v>
      </c>
      <c r="C39" s="212">
        <f>Estimation!F142</f>
        <v>0</v>
      </c>
      <c r="D39" s="214">
        <f>Estimation!J142</f>
        <v>0</v>
      </c>
      <c r="E39" s="214">
        <f>Estimation!L142</f>
        <v>0</v>
      </c>
      <c r="F39" s="214">
        <f>Estimation!N142</f>
        <v>0</v>
      </c>
      <c r="G39" s="214">
        <f>Estimation!P142</f>
        <v>0</v>
      </c>
      <c r="H39" s="214">
        <f>Estimation!R142</f>
        <v>0</v>
      </c>
      <c r="I39" s="214">
        <f>Estimation!T142</f>
        <v>0</v>
      </c>
      <c r="J39" s="214">
        <f>Estimation!V142</f>
        <v>0</v>
      </c>
      <c r="K39" s="214">
        <f>Estimation!X142</f>
        <v>0</v>
      </c>
      <c r="L39" s="214">
        <f>Estimation!Z142</f>
        <v>0</v>
      </c>
      <c r="M39" s="214">
        <f>Estimation!AB142</f>
        <v>0</v>
      </c>
      <c r="N39" s="214">
        <f>Estimation!AD142</f>
        <v>0</v>
      </c>
      <c r="Q39" s="205" t="str">
        <f>IF(N39&gt;0,CONCATENATE(A39,"&amp;\$",B39,"&amp;",C39,IF($D$48&lt;&gt;0,CONCATENATE("&amp;\$",D39),""),IF($E$48&lt;&gt;0,CONCATENATE("&amp;\$",E39),""),IF($F$48&lt;&gt;0,CONCATENATE("&amp;\$",F39),""),IF($G$48&lt;&gt;0,CONCATENATE("&amp;\$",G39),""),IF($H$48&lt;&gt;0,CONCATENATE("&amp;\$",H39),""),"&amp;\$",N39,"\\ \hline"),"")</f>
        <v/>
      </c>
    </row>
    <row r="40" spans="1:17" outlineLevel="1" x14ac:dyDescent="0.25">
      <c r="A40" s="373" t="str">
        <f>+Estimation!C144</f>
        <v>Description</v>
      </c>
      <c r="B40" s="373"/>
      <c r="C40" s="373"/>
      <c r="D40" s="373"/>
      <c r="E40" s="373"/>
      <c r="F40" s="373"/>
      <c r="G40" s="373"/>
      <c r="H40" s="373"/>
      <c r="I40" s="373"/>
      <c r="J40" s="373"/>
      <c r="K40" s="373"/>
      <c r="L40" s="373"/>
      <c r="M40" s="373"/>
      <c r="N40" s="373"/>
      <c r="Q40" t="str">
        <f>IF(SUM(D41:N42)&lt;&gt;0,CONCATENATE("\multicolumn{",$R$1,"}{c}{",A40,"} \\ \hline" ),"")</f>
        <v/>
      </c>
    </row>
    <row r="41" spans="1:17" outlineLevel="1" x14ac:dyDescent="0.25">
      <c r="A41" s="204" t="str">
        <f>Estimation!D145</f>
        <v>Airfare</v>
      </c>
      <c r="B41" s="214">
        <f>Estimation!E145</f>
        <v>0</v>
      </c>
      <c r="C41" s="212"/>
      <c r="D41" s="217">
        <f>Estimation!J145</f>
        <v>0</v>
      </c>
      <c r="E41" s="217">
        <f>Estimation!L145</f>
        <v>0</v>
      </c>
      <c r="F41" s="217">
        <f>Estimation!N145</f>
        <v>0</v>
      </c>
      <c r="G41" s="217">
        <f>Estimation!P145</f>
        <v>0</v>
      </c>
      <c r="H41" s="217">
        <f>Estimation!R145</f>
        <v>0</v>
      </c>
      <c r="I41" s="214">
        <f>Estimation!T145</f>
        <v>0</v>
      </c>
      <c r="J41" s="214">
        <f>Estimation!V145</f>
        <v>0</v>
      </c>
      <c r="K41" s="214">
        <f>Estimation!X145</f>
        <v>0</v>
      </c>
      <c r="L41" s="214">
        <f>Estimation!Z145</f>
        <v>0</v>
      </c>
      <c r="M41" s="214">
        <f>Estimation!AB145</f>
        <v>0</v>
      </c>
      <c r="N41" s="217">
        <f>Estimation!AD145</f>
        <v>0</v>
      </c>
      <c r="Q41" s="205" t="str">
        <f>IF(N41&gt;0,CONCATENATE(A41,"&amp;\$",B41,"&amp;",C41,IF($D$48&lt;&gt;0,CONCATENATE("&amp;\$",D41),""),IF($E$48&lt;&gt;0,CONCATENATE("&amp;\$",E41),""),IF($F$48&lt;&gt;0,CONCATENATE("&amp;\$",F41),""),IF($G$48&lt;&gt;0,CONCATENATE("&amp;\$",G41),""),IF($H$48&lt;&gt;0,CONCATENATE("&amp;\$",H41),""),"&amp;\$",N41,"\\ \hline"),"")</f>
        <v/>
      </c>
    </row>
    <row r="42" spans="1:17" outlineLevel="1" x14ac:dyDescent="0.25">
      <c r="A42" s="204" t="str">
        <f>Estimation!D146</f>
        <v>Lodging</v>
      </c>
      <c r="B42" s="214">
        <f>Estimation!E146</f>
        <v>0</v>
      </c>
      <c r="C42" s="212">
        <f>Estimation!F146</f>
        <v>0</v>
      </c>
      <c r="D42" s="217">
        <f>Estimation!J146</f>
        <v>0</v>
      </c>
      <c r="E42" s="217">
        <f>Estimation!L146</f>
        <v>0</v>
      </c>
      <c r="F42" s="217">
        <f>Estimation!N146</f>
        <v>0</v>
      </c>
      <c r="G42" s="217">
        <f>Estimation!P146</f>
        <v>0</v>
      </c>
      <c r="H42" s="217">
        <f>Estimation!R146</f>
        <v>0</v>
      </c>
      <c r="I42" s="214">
        <f>Estimation!T146</f>
        <v>0</v>
      </c>
      <c r="J42" s="214">
        <f>Estimation!V146</f>
        <v>0</v>
      </c>
      <c r="K42" s="214">
        <f>Estimation!X146</f>
        <v>0</v>
      </c>
      <c r="L42" s="214">
        <f>Estimation!Z146</f>
        <v>0</v>
      </c>
      <c r="M42" s="214">
        <f>Estimation!AB146</f>
        <v>0</v>
      </c>
      <c r="N42" s="217">
        <f>Estimation!AD146</f>
        <v>0</v>
      </c>
      <c r="Q42" s="205" t="str">
        <f>IF(N42&gt;0,CONCATENATE(A42,"&amp;\$",B42,"&amp;",C42,IF($D$48&lt;&gt;0,CONCATENATE("&amp;\$",D42),""),IF($E$48&lt;&gt;0,CONCATENATE("&amp;\$",E42),""),IF($F$48&lt;&gt;0,CONCATENATE("&amp;\$",F42),""),IF($G$48&lt;&gt;0,CONCATENATE("&amp;\$",G42),""),IF($H$48&lt;&gt;0,CONCATENATE("&amp;\$",H42),""),"&amp;\$",N42,"\\ \hline"),"")</f>
        <v/>
      </c>
    </row>
    <row r="43" spans="1:17" outlineLevel="1" x14ac:dyDescent="0.25">
      <c r="A43" s="204" t="str">
        <f>Estimation!D147</f>
        <v>Per Diem</v>
      </c>
      <c r="B43" s="214">
        <f>Estimation!E147</f>
        <v>0</v>
      </c>
      <c r="C43" s="212">
        <f>Estimation!F147</f>
        <v>0</v>
      </c>
      <c r="D43" s="217">
        <f>Estimation!J147</f>
        <v>0</v>
      </c>
      <c r="E43" s="217">
        <f>Estimation!L147</f>
        <v>0</v>
      </c>
      <c r="F43" s="217">
        <f>Estimation!N147</f>
        <v>0</v>
      </c>
      <c r="G43" s="217">
        <f>Estimation!P147</f>
        <v>0</v>
      </c>
      <c r="H43" s="217">
        <f>Estimation!R147</f>
        <v>0</v>
      </c>
      <c r="I43" s="214">
        <f>Estimation!T147</f>
        <v>0</v>
      </c>
      <c r="J43" s="214">
        <f>Estimation!V147</f>
        <v>0</v>
      </c>
      <c r="K43" s="214">
        <f>Estimation!X147</f>
        <v>0</v>
      </c>
      <c r="L43" s="214">
        <f>Estimation!Z147</f>
        <v>0</v>
      </c>
      <c r="M43" s="214">
        <f>Estimation!AB147</f>
        <v>0</v>
      </c>
      <c r="N43" s="217">
        <f>Estimation!AD147</f>
        <v>0</v>
      </c>
      <c r="Q43" s="205" t="str">
        <f>IF(N43&gt;0,CONCATENATE(A43,"&amp;\$",B43,"&amp;",C43,IF($D$48&lt;&gt;0,CONCATENATE("&amp;\$",D43),""),IF($E$48&lt;&gt;0,CONCATENATE("&amp;\$",E43),""),IF($F$48&lt;&gt;0,CONCATENATE("&amp;\$",F43),""),IF($G$48&lt;&gt;0,CONCATENATE("&amp;\$",G43),""),IF($H$48&lt;&gt;0,CONCATENATE("&amp;\$",H43),""),"&amp;\$",N43,"\\ \hline"),"")</f>
        <v/>
      </c>
    </row>
    <row r="44" spans="1:17" ht="30" outlineLevel="1" x14ac:dyDescent="0.25">
      <c r="A44" s="207" t="str">
        <f>Estimation!D148</f>
        <v>Ground Transportation</v>
      </c>
      <c r="B44" s="214">
        <f>Estimation!E148</f>
        <v>40</v>
      </c>
      <c r="C44" s="212">
        <f>Estimation!F148</f>
        <v>0</v>
      </c>
      <c r="D44" s="217">
        <f>Estimation!J148</f>
        <v>0</v>
      </c>
      <c r="E44" s="217">
        <f>Estimation!L148</f>
        <v>0</v>
      </c>
      <c r="F44" s="217">
        <f>Estimation!N148</f>
        <v>0</v>
      </c>
      <c r="G44" s="217">
        <f>Estimation!P148</f>
        <v>0</v>
      </c>
      <c r="H44" s="217">
        <f>Estimation!R148</f>
        <v>0</v>
      </c>
      <c r="I44" s="214">
        <f>Estimation!T148</f>
        <v>0</v>
      </c>
      <c r="J44" s="214">
        <f>Estimation!V148</f>
        <v>0</v>
      </c>
      <c r="K44" s="214">
        <f>Estimation!X148</f>
        <v>0</v>
      </c>
      <c r="L44" s="214">
        <f>Estimation!Z148</f>
        <v>0</v>
      </c>
      <c r="M44" s="214">
        <f>Estimation!AB148</f>
        <v>0</v>
      </c>
      <c r="N44" s="217">
        <f>Estimation!AD148</f>
        <v>0</v>
      </c>
      <c r="Q44" s="205" t="str">
        <f>IF(N44&gt;0,CONCATENATE(A44,"&amp;\$",B44,"&amp;",C44,IF($D$48&lt;&gt;0,CONCATENATE("&amp;\$",D44),""),IF($E$48&lt;&gt;0,CONCATENATE("&amp;\$",E44),""),IF($F$48&lt;&gt;0,CONCATENATE("&amp;\$",F44),""),IF($G$48&lt;&gt;0,CONCATENATE("&amp;\$",G44),""),IF($H$48&lt;&gt;0,CONCATENATE("&amp;\$",H44),""),"&amp;\$",N44,"\\ \hline"),"")</f>
        <v/>
      </c>
    </row>
    <row r="45" spans="1:17" ht="9.6" customHeight="1" outlineLevel="1" x14ac:dyDescent="0.25">
      <c r="A45" s="367"/>
      <c r="B45" s="368"/>
      <c r="C45" s="368"/>
      <c r="D45" s="368"/>
      <c r="E45" s="368"/>
      <c r="F45" s="368"/>
      <c r="G45" s="368"/>
      <c r="H45" s="368"/>
      <c r="I45" s="368"/>
      <c r="J45" s="368"/>
      <c r="K45" s="368"/>
      <c r="L45" s="368"/>
      <c r="M45" s="368"/>
      <c r="N45" s="369"/>
    </row>
    <row r="46" spans="1:17" outlineLevel="1" x14ac:dyDescent="0.25">
      <c r="A46" s="375" t="str">
        <f>+Estimation!H149</f>
        <v>Subtotal International Travel</v>
      </c>
      <c r="B46" s="376"/>
      <c r="C46" s="376"/>
      <c r="D46" s="216">
        <f>Estimation!J149</f>
        <v>0</v>
      </c>
      <c r="E46" s="216">
        <f>Estimation!L149</f>
        <v>0</v>
      </c>
      <c r="F46" s="216">
        <f>Estimation!N149</f>
        <v>0</v>
      </c>
      <c r="G46" s="216">
        <f>Estimation!P149</f>
        <v>0</v>
      </c>
      <c r="H46" s="216">
        <f>Estimation!R149</f>
        <v>0</v>
      </c>
      <c r="I46" s="216">
        <f>Estimation!T149</f>
        <v>0</v>
      </c>
      <c r="J46" s="216">
        <f>Estimation!V149</f>
        <v>0</v>
      </c>
      <c r="K46" s="216">
        <f>Estimation!X149</f>
        <v>0</v>
      </c>
      <c r="L46" s="216">
        <f>Estimation!Z149</f>
        <v>0</v>
      </c>
      <c r="M46" s="216">
        <f>Estimation!AB149</f>
        <v>0</v>
      </c>
      <c r="N46" s="216">
        <f>Estimation!AD149</f>
        <v>0</v>
      </c>
      <c r="Q46" s="205" t="str">
        <f>IF(N46&gt;0,CONCATENATE("\multicolumn{3}{l}{\textbf{",A48,"}}",IF($D$48&lt;&gt;0,CONCATENATE("&amp;\$",D48),""),IF($E$48&lt;&gt;0,CONCATENATE("&amp;\$",E48),""),IF($F$48&lt;&gt;0,CONCATENATE("&amp;\$",F48),""),IF($G$48&lt;&gt;0,CONCATENATE("&amp;\$",G48),""),IF($H$48&lt;&gt;0,CONCATENATE("&amp;\$",H48),""),"&amp;\$",N48,"\\ \hline"),"")</f>
        <v/>
      </c>
    </row>
    <row r="47" spans="1:17" ht="4.5" customHeight="1" x14ac:dyDescent="0.25">
      <c r="A47" s="208"/>
      <c r="B47" s="209"/>
      <c r="C47" s="209"/>
      <c r="D47" s="209"/>
      <c r="E47" s="209"/>
      <c r="F47" s="209"/>
      <c r="G47" s="209"/>
      <c r="H47" s="209"/>
      <c r="I47" s="209"/>
      <c r="J47" s="209"/>
      <c r="K47" s="209"/>
      <c r="L47" s="209"/>
      <c r="M47" s="209"/>
      <c r="N47" s="210"/>
    </row>
    <row r="48" spans="1:17" x14ac:dyDescent="0.25">
      <c r="A48" s="376" t="str">
        <f>+Estimation!C151</f>
        <v>Total Travel</v>
      </c>
      <c r="B48" s="376"/>
      <c r="C48" s="376"/>
      <c r="D48" s="216">
        <f>Estimation!J151</f>
        <v>0</v>
      </c>
      <c r="E48" s="216">
        <f>Estimation!L151</f>
        <v>0</v>
      </c>
      <c r="F48" s="216">
        <f>Estimation!N151</f>
        <v>0</v>
      </c>
      <c r="G48" s="216">
        <f>Estimation!P151</f>
        <v>0</v>
      </c>
      <c r="H48" s="216">
        <f>Estimation!R151</f>
        <v>0</v>
      </c>
      <c r="I48" s="216">
        <f>Estimation!T151</f>
        <v>0</v>
      </c>
      <c r="J48" s="216">
        <f>Estimation!V151</f>
        <v>0</v>
      </c>
      <c r="K48" s="216">
        <f>Estimation!X151</f>
        <v>0</v>
      </c>
      <c r="L48" s="216">
        <f>Estimation!Z151</f>
        <v>0</v>
      </c>
      <c r="M48" s="216">
        <f>Estimation!AB151</f>
        <v>0</v>
      </c>
      <c r="N48" s="216">
        <f>Estimation!AD151</f>
        <v>0</v>
      </c>
      <c r="Q48" t="str">
        <f>CONCATENATE("\multicolumn{3}{l}{\textbf{",A48,"}}",IF($D$48&lt;&gt;0,CONCATENATE("&amp;\$",D48),""),IF($E$48&lt;&gt;0,CONCATENATE("&amp;\$",E48),""),IF($F$48&lt;&gt;0,CONCATENATE("&amp;\$",F48),""),IF($G$48&lt;&gt;0,CONCATENATE("&amp;\$",G48),""),IF($H$48&lt;&gt;0,CONCATENATE("&amp;\$",H48),""),"&amp;\$",N48,"\\ \hline")</f>
        <v>\multicolumn{3}{l}{\textbf{Total Travel}}&amp;\$0\\ \hline</v>
      </c>
    </row>
    <row r="49" spans="2:17" x14ac:dyDescent="0.25">
      <c r="B49" s="211"/>
      <c r="D49" s="211"/>
      <c r="E49" s="211"/>
      <c r="F49" s="211"/>
      <c r="G49" s="211"/>
      <c r="H49" s="211"/>
      <c r="I49" s="211"/>
      <c r="J49" s="211"/>
      <c r="K49" s="211"/>
      <c r="L49" s="211"/>
      <c r="M49" s="211"/>
      <c r="N49" s="211"/>
      <c r="Q49" t="s">
        <v>323</v>
      </c>
    </row>
    <row r="50" spans="2:17" x14ac:dyDescent="0.25">
      <c r="B50" s="211"/>
      <c r="D50" s="211"/>
      <c r="E50" s="211"/>
      <c r="F50" s="211"/>
      <c r="G50" s="211"/>
      <c r="H50" s="211"/>
      <c r="I50" s="211"/>
      <c r="J50" s="211"/>
      <c r="K50" s="211"/>
      <c r="L50" s="211"/>
      <c r="M50" s="211"/>
      <c r="N50" s="211"/>
    </row>
  </sheetData>
  <mergeCells count="20">
    <mergeCell ref="A46:C46"/>
    <mergeCell ref="A48:C48"/>
    <mergeCell ref="A26:N26"/>
    <mergeCell ref="A27:C27"/>
    <mergeCell ref="A30:N30"/>
    <mergeCell ref="A35:N35"/>
    <mergeCell ref="A40:N40"/>
    <mergeCell ref="P3:P5"/>
    <mergeCell ref="P7:P8"/>
    <mergeCell ref="P10:P11"/>
    <mergeCell ref="P15:P19"/>
    <mergeCell ref="A45:N45"/>
    <mergeCell ref="A23:N23"/>
    <mergeCell ref="A3:N3"/>
    <mergeCell ref="A8:N8"/>
    <mergeCell ref="A13:N13"/>
    <mergeCell ref="A18:N18"/>
    <mergeCell ref="P23:P27"/>
    <mergeCell ref="P29:P30"/>
    <mergeCell ref="P31:P32"/>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F34" sqref="F3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381" t="s">
        <v>243</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6"/>
      <c r="AC3"/>
      <c r="AD3"/>
      <c r="AE3"/>
      <c r="AF3"/>
      <c r="AG3"/>
      <c r="AH3"/>
      <c r="AI3"/>
      <c r="AJ3"/>
      <c r="AK3"/>
    </row>
    <row r="4" spans="1:52" ht="15.75" x14ac:dyDescent="0.25">
      <c r="B4" s="77"/>
      <c r="C4" s="77"/>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7"/>
      <c r="E5" s="378" t="str">
        <f>IF(Estimation!E12=0, "", Estimation!E12)</f>
        <v xml:space="preserve"> </v>
      </c>
      <c r="F5" s="378"/>
      <c r="G5" s="378"/>
      <c r="H5" s="378"/>
      <c r="J5" s="10" t="s">
        <v>23</v>
      </c>
      <c r="K5" s="77"/>
      <c r="M5" s="378" t="str">
        <f>IF(Estimation!E1=0, "", Estimation!E1)</f>
        <v/>
      </c>
      <c r="N5" s="378"/>
      <c r="O5" s="378"/>
      <c r="P5" s="378"/>
      <c r="Q5" s="8"/>
      <c r="R5" s="8"/>
      <c r="S5" s="8"/>
      <c r="T5" s="8"/>
      <c r="U5" s="8"/>
      <c r="V5" s="8"/>
      <c r="W5" s="8"/>
      <c r="X5" s="8"/>
      <c r="Y5" s="8"/>
      <c r="Z5" s="8"/>
      <c r="AB5" s="78"/>
      <c r="AC5"/>
      <c r="AD5"/>
      <c r="AE5"/>
      <c r="AF5" s="10"/>
      <c r="AG5" s="77"/>
      <c r="AH5" s="77"/>
      <c r="AI5" s="77"/>
      <c r="AJ5" s="77"/>
      <c r="AK5"/>
    </row>
    <row r="6" spans="1:52" ht="15.75" x14ac:dyDescent="0.25">
      <c r="B6" s="10" t="s">
        <v>51</v>
      </c>
      <c r="C6" s="77"/>
      <c r="E6" s="378" t="str">
        <f>IF(Estimation!E13=0, "", Estimation!E13)</f>
        <v/>
      </c>
      <c r="F6" s="378"/>
      <c r="G6" s="378"/>
      <c r="H6" s="378"/>
      <c r="J6" s="10" t="s">
        <v>90</v>
      </c>
      <c r="K6" s="77"/>
      <c r="M6" s="378" t="str">
        <f>IF(Estimation!E2=0, "", Estimation!E2)</f>
        <v/>
      </c>
      <c r="N6" s="378"/>
      <c r="O6" s="378"/>
      <c r="P6" s="378"/>
      <c r="Q6" s="8"/>
      <c r="R6" s="8"/>
      <c r="S6" s="8"/>
      <c r="T6" s="8"/>
      <c r="U6" s="8"/>
      <c r="V6" s="8"/>
      <c r="W6" s="8"/>
      <c r="X6" s="8"/>
      <c r="Y6" s="8"/>
      <c r="Z6" s="8"/>
      <c r="AB6" s="78"/>
      <c r="AC6"/>
      <c r="AD6"/>
      <c r="AE6"/>
      <c r="AF6" s="10"/>
      <c r="AG6" s="77"/>
      <c r="AH6" s="77"/>
      <c r="AI6" s="77"/>
      <c r="AJ6" s="77"/>
      <c r="AK6"/>
    </row>
    <row r="7" spans="1:52" ht="15.75" x14ac:dyDescent="0.25">
      <c r="B7" s="77"/>
      <c r="C7" s="77"/>
      <c r="E7" s="378" t="str">
        <f>IF(Estimation!E14=0, "", Estimation!E14)</f>
        <v/>
      </c>
      <c r="F7" s="378"/>
      <c r="G7" s="378"/>
      <c r="H7" s="378"/>
      <c r="I7" s="44"/>
      <c r="J7" s="77"/>
      <c r="K7" s="77"/>
      <c r="M7" s="8"/>
      <c r="N7" s="8"/>
      <c r="O7" s="8"/>
      <c r="P7" s="8"/>
      <c r="Q7" s="8"/>
      <c r="R7" s="8"/>
      <c r="S7" s="8"/>
      <c r="T7" s="8"/>
      <c r="U7" s="8"/>
      <c r="V7" s="8"/>
      <c r="W7" s="8"/>
      <c r="X7" s="8"/>
      <c r="Y7" s="8"/>
      <c r="Z7" s="8"/>
      <c r="AB7" s="78"/>
      <c r="AC7"/>
      <c r="AD7"/>
      <c r="AE7"/>
      <c r="AF7"/>
      <c r="AG7"/>
      <c r="AH7"/>
      <c r="AI7"/>
      <c r="AJ7"/>
      <c r="AK7"/>
    </row>
    <row r="8" spans="1:52" ht="15.75" x14ac:dyDescent="0.25">
      <c r="B8" s="77"/>
      <c r="C8" s="77"/>
      <c r="D8" s="77"/>
      <c r="E8" s="77"/>
      <c r="F8" s="77"/>
      <c r="G8" s="77"/>
      <c r="H8" s="7"/>
      <c r="I8" s="7"/>
      <c r="J8" s="78"/>
      <c r="K8" s="78"/>
      <c r="L8" s="78"/>
      <c r="M8" s="78"/>
      <c r="N8" s="78"/>
      <c r="O8" s="78"/>
      <c r="P8" s="78"/>
      <c r="Q8" s="78"/>
      <c r="R8" s="78"/>
      <c r="S8" s="78"/>
      <c r="T8" s="78"/>
      <c r="U8" s="78"/>
      <c r="V8" s="78"/>
      <c r="W8" s="78"/>
      <c r="X8" s="78"/>
      <c r="Y8" s="78"/>
      <c r="Z8" s="78"/>
      <c r="AB8" s="78"/>
      <c r="AC8"/>
      <c r="AD8"/>
      <c r="AE8"/>
      <c r="AF8"/>
      <c r="AG8"/>
      <c r="AH8"/>
      <c r="AI8"/>
      <c r="AJ8"/>
      <c r="AK8"/>
    </row>
    <row r="9" spans="1:52" ht="15.6" customHeight="1" x14ac:dyDescent="0.25">
      <c r="B9" s="10" t="s">
        <v>20</v>
      </c>
      <c r="C9" s="380" t="str">
        <f>IF(Estimation!D9=0, "", Estimation!D9)</f>
        <v/>
      </c>
      <c r="D9" s="380"/>
      <c r="E9" s="380"/>
      <c r="F9" s="380"/>
      <c r="G9" s="380"/>
      <c r="H9" s="380"/>
      <c r="J9" s="157" t="s">
        <v>245</v>
      </c>
      <c r="M9" s="377" t="str">
        <f>IF(Estimation!E3=0, "", Estimation!E3)</f>
        <v/>
      </c>
      <c r="N9" s="377"/>
      <c r="O9" s="377"/>
      <c r="P9" s="377"/>
      <c r="Q9" s="346"/>
      <c r="R9" s="346"/>
      <c r="S9" s="346"/>
      <c r="T9" s="346"/>
      <c r="U9" s="346"/>
      <c r="V9" s="346"/>
      <c r="W9" s="346"/>
      <c r="X9" s="346"/>
      <c r="Y9" s="346"/>
      <c r="Z9" s="346"/>
      <c r="AC9"/>
      <c r="AD9"/>
      <c r="AE9"/>
      <c r="AF9"/>
      <c r="AG9"/>
      <c r="AH9"/>
      <c r="AI9"/>
      <c r="AJ9"/>
      <c r="AK9"/>
    </row>
    <row r="10" spans="1:52" ht="15.75" x14ac:dyDescent="0.25">
      <c r="C10" s="380"/>
      <c r="D10" s="380"/>
      <c r="E10" s="380"/>
      <c r="F10" s="380"/>
      <c r="G10" s="380"/>
      <c r="H10" s="380"/>
      <c r="AC10"/>
      <c r="AD10"/>
      <c r="AE10"/>
      <c r="AF10"/>
      <c r="AG10"/>
      <c r="AH10"/>
      <c r="AI10"/>
      <c r="AJ10"/>
      <c r="AK10"/>
    </row>
    <row r="11" spans="1:52" ht="15.75" x14ac:dyDescent="0.25">
      <c r="B11" s="8"/>
      <c r="C11" s="380"/>
      <c r="D11" s="380"/>
      <c r="E11" s="380"/>
      <c r="F11" s="380"/>
      <c r="G11" s="380"/>
      <c r="H11" s="380"/>
      <c r="J11" s="170" t="s">
        <v>18</v>
      </c>
      <c r="M11" s="378" t="str">
        <f>IF(Estimation!E18=0, "", Estimation!E18)</f>
        <v/>
      </c>
      <c r="N11" s="378"/>
      <c r="O11" s="378"/>
      <c r="P11" s="378"/>
      <c r="Q11" s="8"/>
      <c r="R11" s="8"/>
      <c r="S11" s="8"/>
      <c r="T11" s="8"/>
      <c r="U11" s="8"/>
      <c r="V11" s="8"/>
      <c r="W11" s="8"/>
      <c r="X11" s="8"/>
      <c r="Y11" s="8"/>
      <c r="Z11" s="8"/>
      <c r="AC11"/>
      <c r="AD11"/>
      <c r="AE11"/>
      <c r="AF11"/>
      <c r="AG11"/>
      <c r="AH11"/>
      <c r="AI11"/>
      <c r="AJ11"/>
      <c r="AK11"/>
    </row>
    <row r="12" spans="1:52" ht="15.75" x14ac:dyDescent="0.25">
      <c r="B12" s="8"/>
      <c r="C12" s="380"/>
      <c r="D12" s="380"/>
      <c r="E12" s="380"/>
      <c r="F12" s="380"/>
      <c r="G12" s="380"/>
      <c r="H12" s="380"/>
      <c r="AC12"/>
      <c r="AD12"/>
      <c r="AE12"/>
      <c r="AF12"/>
      <c r="AG12"/>
      <c r="AH12"/>
      <c r="AI12"/>
      <c r="AJ12"/>
      <c r="AK12"/>
    </row>
    <row r="13" spans="1:52" ht="15.75" x14ac:dyDescent="0.25">
      <c r="B13" s="77"/>
      <c r="C13" s="77"/>
      <c r="D13" s="77"/>
      <c r="E13" s="77"/>
      <c r="F13" s="77"/>
      <c r="G13" s="77"/>
      <c r="H13" s="8"/>
      <c r="I13" s="28"/>
      <c r="J13" s="8"/>
      <c r="K13" s="28"/>
      <c r="L13" s="28"/>
      <c r="M13" s="28"/>
      <c r="N13" s="28"/>
      <c r="P13" s="28"/>
      <c r="R13" s="28"/>
      <c r="T13" s="28"/>
      <c r="V13" s="28"/>
      <c r="X13" s="28"/>
      <c r="AC13"/>
      <c r="AD13" s="379" t="s">
        <v>246</v>
      </c>
      <c r="AE13" s="379"/>
      <c r="AF13" s="379"/>
      <c r="AG13" s="379"/>
      <c r="AH13" s="379"/>
      <c r="AI13" s="379"/>
      <c r="AJ13" s="379"/>
      <c r="AK13" s="379"/>
      <c r="AL13" s="379"/>
      <c r="AM13" s="379"/>
      <c r="AN13" s="379"/>
      <c r="AO13" s="379"/>
      <c r="AP13" s="379"/>
      <c r="AQ13" s="379"/>
      <c r="AR13" s="379"/>
      <c r="AS13" s="379"/>
      <c r="AT13" s="379"/>
      <c r="AU13" s="379"/>
      <c r="AV13" s="379"/>
      <c r="AW13" s="379"/>
      <c r="AX13" s="379"/>
      <c r="AY13" s="379"/>
    </row>
    <row r="14" spans="1:52" x14ac:dyDescent="0.25">
      <c r="B14" s="38" t="s">
        <v>28</v>
      </c>
      <c r="C14" s="38"/>
      <c r="D14" s="38"/>
      <c r="E14" s="39"/>
      <c r="F14" s="40" t="s">
        <v>0</v>
      </c>
      <c r="G14" s="41"/>
      <c r="H14" s="40" t="s">
        <v>1</v>
      </c>
      <c r="I14" s="41"/>
      <c r="J14" s="40" t="s">
        <v>22</v>
      </c>
      <c r="K14" s="41"/>
      <c r="L14" s="40" t="s">
        <v>31</v>
      </c>
      <c r="M14" s="41"/>
      <c r="N14" s="40" t="s">
        <v>43</v>
      </c>
      <c r="O14" s="41"/>
      <c r="P14" s="40" t="s">
        <v>345</v>
      </c>
      <c r="Q14" s="41"/>
      <c r="R14" s="40" t="s">
        <v>346</v>
      </c>
      <c r="S14" s="41"/>
      <c r="T14" s="40" t="s">
        <v>347</v>
      </c>
      <c r="U14" s="41"/>
      <c r="V14" s="40" t="s">
        <v>348</v>
      </c>
      <c r="W14" s="41"/>
      <c r="X14" s="40" t="s">
        <v>349</v>
      </c>
      <c r="Y14" s="41"/>
      <c r="Z14" s="42" t="s">
        <v>24</v>
      </c>
      <c r="AA14" s="41"/>
      <c r="AB14" s="34"/>
      <c r="AD14" s="185" t="s">
        <v>0</v>
      </c>
      <c r="AE14" s="186"/>
      <c r="AF14" s="185" t="s">
        <v>1</v>
      </c>
      <c r="AG14" s="186"/>
      <c r="AH14" s="185" t="s">
        <v>22</v>
      </c>
      <c r="AI14" s="186"/>
      <c r="AJ14" s="185" t="s">
        <v>31</v>
      </c>
      <c r="AK14" s="186"/>
      <c r="AL14" s="185" t="s">
        <v>43</v>
      </c>
      <c r="AM14" s="186"/>
      <c r="AN14" s="185" t="s">
        <v>345</v>
      </c>
      <c r="AO14" s="186"/>
      <c r="AP14" s="185" t="s">
        <v>346</v>
      </c>
      <c r="AQ14" s="186"/>
      <c r="AR14" s="185" t="s">
        <v>347</v>
      </c>
      <c r="AS14" s="186"/>
      <c r="AT14" s="185" t="s">
        <v>348</v>
      </c>
      <c r="AU14" s="186"/>
      <c r="AV14" s="185" t="s">
        <v>349</v>
      </c>
      <c r="AW14" s="186"/>
      <c r="AX14" s="187" t="s">
        <v>24</v>
      </c>
      <c r="AY14" s="184"/>
      <c r="AZ14" s="190" t="s">
        <v>62</v>
      </c>
    </row>
    <row r="15" spans="1:52" x14ac:dyDescent="0.25">
      <c r="B15" s="10" t="s">
        <v>225</v>
      </c>
      <c r="C15" s="10"/>
      <c r="D15" s="10"/>
      <c r="E15" s="43"/>
      <c r="F15" s="44"/>
      <c r="G15" s="43"/>
      <c r="H15" s="44"/>
      <c r="I15" s="43"/>
      <c r="J15" s="44"/>
      <c r="K15" s="43"/>
      <c r="L15" s="44"/>
      <c r="M15" s="43"/>
      <c r="N15" s="44"/>
      <c r="O15" s="43"/>
      <c r="P15" s="44"/>
      <c r="Q15" s="43"/>
      <c r="R15" s="44"/>
      <c r="S15" s="43"/>
      <c r="T15" s="44"/>
      <c r="U15" s="43"/>
      <c r="V15" s="44"/>
      <c r="W15" s="43"/>
      <c r="X15" s="44"/>
      <c r="Y15" s="43"/>
      <c r="Z15" s="44"/>
      <c r="AA15" s="43"/>
      <c r="AB15" s="33"/>
      <c r="AD15" s="180"/>
      <c r="AE15" s="180"/>
      <c r="AF15" s="180"/>
      <c r="AG15" s="180"/>
      <c r="AH15" s="180"/>
      <c r="AI15" s="180"/>
      <c r="AJ15" s="180"/>
      <c r="AK15" s="180"/>
      <c r="AL15" s="180"/>
      <c r="AM15" s="180"/>
      <c r="AN15" s="180"/>
      <c r="AO15" s="180"/>
      <c r="AP15" s="180"/>
      <c r="AQ15" s="180"/>
      <c r="AR15" s="180"/>
      <c r="AS15" s="180"/>
      <c r="AT15" s="180"/>
      <c r="AU15" s="180"/>
      <c r="AV15" s="180"/>
      <c r="AW15" s="180"/>
      <c r="AX15" s="180"/>
    </row>
    <row r="16" spans="1:52" x14ac:dyDescent="0.25">
      <c r="C16" s="45" t="s">
        <v>229</v>
      </c>
      <c r="E16" s="43"/>
      <c r="F16" s="44">
        <f>SUM(F17:F25)</f>
        <v>0</v>
      </c>
      <c r="G16" s="43"/>
      <c r="H16" s="44">
        <f>SUM(H17:H25)</f>
        <v>0</v>
      </c>
      <c r="I16" s="43"/>
      <c r="J16" s="44">
        <f>SUM(J17:J25)</f>
        <v>0</v>
      </c>
      <c r="K16" s="43"/>
      <c r="L16" s="44">
        <f>SUM(L17:L25)</f>
        <v>0</v>
      </c>
      <c r="M16" s="43"/>
      <c r="N16" s="44">
        <f>SUM(N17:N25)</f>
        <v>0</v>
      </c>
      <c r="O16" s="43"/>
      <c r="P16" s="44">
        <f>SUM(P17:P25)</f>
        <v>0</v>
      </c>
      <c r="Q16" s="43"/>
      <c r="R16" s="44">
        <f>SUM(R17:R25)</f>
        <v>0</v>
      </c>
      <c r="S16" s="43"/>
      <c r="T16" s="44">
        <f>SUM(T17:T25)</f>
        <v>0</v>
      </c>
      <c r="U16" s="43"/>
      <c r="V16" s="44">
        <f>SUM(V17:V25)</f>
        <v>0</v>
      </c>
      <c r="W16" s="43"/>
      <c r="X16" s="44">
        <f>SUM(X17:X25)</f>
        <v>0</v>
      </c>
      <c r="Y16" s="43"/>
      <c r="Z16" s="44">
        <f>F16+H16+J16+L16+N16+P16+R16+T16+V16+X16</f>
        <v>0</v>
      </c>
      <c r="AA16" s="43"/>
      <c r="AB16" s="33"/>
      <c r="AD16" s="180"/>
      <c r="AE16" s="180"/>
      <c r="AF16" s="180"/>
      <c r="AG16" s="180"/>
      <c r="AH16" s="180"/>
      <c r="AI16" s="180"/>
      <c r="AJ16" s="180"/>
      <c r="AK16" s="180"/>
      <c r="AL16" s="180"/>
      <c r="AM16" s="180"/>
      <c r="AN16" s="180"/>
      <c r="AO16" s="180"/>
      <c r="AP16" s="180"/>
      <c r="AQ16" s="180"/>
      <c r="AR16" s="180"/>
      <c r="AS16" s="180"/>
      <c r="AT16" s="180"/>
      <c r="AU16" s="180"/>
      <c r="AV16" s="180"/>
      <c r="AW16" s="180"/>
      <c r="AX16" s="180"/>
    </row>
    <row r="17" spans="3:52" outlineLevel="1" x14ac:dyDescent="0.25">
      <c r="C17" s="152" t="str">
        <f>Estimation!C21</f>
        <v xml:space="preserve">PI:  </v>
      </c>
      <c r="E17" s="43"/>
      <c r="F17" s="44">
        <f>Estimation!J22</f>
        <v>0</v>
      </c>
      <c r="G17" s="43"/>
      <c r="H17" s="44">
        <f>Estimation!L22</f>
        <v>0</v>
      </c>
      <c r="I17" s="43"/>
      <c r="J17" s="44">
        <f>Estimation!N22</f>
        <v>0</v>
      </c>
      <c r="K17" s="43"/>
      <c r="L17" s="44">
        <f>Estimation!P22</f>
        <v>0</v>
      </c>
      <c r="M17" s="43"/>
      <c r="N17" s="44">
        <f>Estimation!R22</f>
        <v>0</v>
      </c>
      <c r="O17" s="43"/>
      <c r="P17" s="44">
        <f>Estimation!T22</f>
        <v>0</v>
      </c>
      <c r="Q17" s="43"/>
      <c r="R17" s="44">
        <f>Estimation!V22</f>
        <v>0</v>
      </c>
      <c r="S17" s="43"/>
      <c r="T17" s="44">
        <f>Estimation!X22</f>
        <v>0</v>
      </c>
      <c r="U17" s="43"/>
      <c r="V17" s="44">
        <f>Estimation!Z22</f>
        <v>0</v>
      </c>
      <c r="W17" s="43"/>
      <c r="X17" s="44">
        <f>Estimation!AB22</f>
        <v>0</v>
      </c>
      <c r="Y17" s="43"/>
      <c r="Z17" s="44">
        <f>F17+H17+J17+L17+N17+P17+R17+T17+V17+X17</f>
        <v>0</v>
      </c>
      <c r="AA17" s="43"/>
      <c r="AB17" s="33"/>
      <c r="AD17" s="180"/>
      <c r="AE17" s="180"/>
      <c r="AF17" s="180"/>
      <c r="AG17" s="180"/>
      <c r="AH17" s="180"/>
      <c r="AI17" s="180"/>
      <c r="AJ17" s="180"/>
      <c r="AK17" s="180"/>
      <c r="AL17" s="180"/>
      <c r="AM17" s="180"/>
      <c r="AN17" s="180"/>
      <c r="AO17" s="180"/>
      <c r="AP17" s="180"/>
      <c r="AQ17" s="180"/>
      <c r="AR17" s="180"/>
      <c r="AS17" s="180"/>
      <c r="AT17" s="180"/>
      <c r="AU17" s="180"/>
      <c r="AV17" s="180"/>
      <c r="AW17" s="180"/>
      <c r="AX17" s="180"/>
    </row>
    <row r="18" spans="3:52" outlineLevel="1" x14ac:dyDescent="0.25">
      <c r="C18" s="169" t="str">
        <f>Estimation!D22</f>
        <v>0% time, 0 months, Summer</v>
      </c>
      <c r="E18" s="43"/>
      <c r="F18" s="44"/>
      <c r="G18" s="43"/>
      <c r="H18" s="44"/>
      <c r="I18" s="43"/>
      <c r="J18" s="44"/>
      <c r="K18" s="43"/>
      <c r="L18" s="44"/>
      <c r="M18" s="43"/>
      <c r="N18" s="44"/>
      <c r="O18" s="43"/>
      <c r="P18" s="44"/>
      <c r="Q18" s="43"/>
      <c r="R18" s="44"/>
      <c r="S18" s="43"/>
      <c r="T18" s="44"/>
      <c r="U18" s="43"/>
      <c r="V18" s="44"/>
      <c r="W18" s="43"/>
      <c r="X18" s="44"/>
      <c r="Y18" s="43"/>
      <c r="Z18" s="44"/>
      <c r="AA18" s="43"/>
      <c r="AB18" s="33"/>
      <c r="AD18" s="180">
        <f>Estimation!BH22</f>
        <v>0</v>
      </c>
      <c r="AE18" s="180"/>
      <c r="AF18" s="180">
        <f>Estimation!BL22</f>
        <v>0</v>
      </c>
      <c r="AG18" s="180"/>
      <c r="AH18" s="180">
        <f>Estimation!BP22</f>
        <v>0</v>
      </c>
      <c r="AI18" s="180"/>
      <c r="AJ18" s="180">
        <f>Estimation!BT22</f>
        <v>0</v>
      </c>
      <c r="AK18" s="180"/>
      <c r="AL18" s="180">
        <f>Estimation!BX22</f>
        <v>0</v>
      </c>
      <c r="AM18" s="180"/>
      <c r="AN18" s="180">
        <f>Estimation!CB22</f>
        <v>0</v>
      </c>
      <c r="AO18" s="180"/>
      <c r="AP18" s="180">
        <f>Estimation!CF22</f>
        <v>0</v>
      </c>
      <c r="AQ18" s="180"/>
      <c r="AR18" s="180">
        <f>Estimation!CJ22</f>
        <v>0</v>
      </c>
      <c r="AS18" s="180"/>
      <c r="AT18" s="180">
        <f>Estimation!CN22</f>
        <v>0</v>
      </c>
      <c r="AU18" s="180"/>
      <c r="AV18" s="180">
        <f>Estimation!CR22</f>
        <v>0</v>
      </c>
      <c r="AW18" s="180"/>
      <c r="AX18" s="180">
        <f>SUM(AD18:AV18)</f>
        <v>0</v>
      </c>
      <c r="AZ18" s="62" t="str">
        <f>Estimation!BE22</f>
        <v>Summer</v>
      </c>
    </row>
    <row r="19" spans="3:52" outlineLevel="1" x14ac:dyDescent="0.25">
      <c r="C19" s="152" t="str">
        <f>Estimation!C23</f>
        <v xml:space="preserve">Co-PI: </v>
      </c>
      <c r="E19" s="43"/>
      <c r="F19" s="44">
        <f>Estimation!J24</f>
        <v>0</v>
      </c>
      <c r="G19" s="43"/>
      <c r="H19" s="44">
        <f>Estimation!L24</f>
        <v>0</v>
      </c>
      <c r="I19" s="43"/>
      <c r="J19" s="44">
        <f>Estimation!N24</f>
        <v>0</v>
      </c>
      <c r="K19" s="43"/>
      <c r="L19" s="44">
        <f>Estimation!P24</f>
        <v>0</v>
      </c>
      <c r="M19" s="43"/>
      <c r="N19" s="44">
        <f>Estimation!R24</f>
        <v>0</v>
      </c>
      <c r="O19" s="43"/>
      <c r="P19" s="44">
        <f>Estimation!T24</f>
        <v>0</v>
      </c>
      <c r="Q19" s="43"/>
      <c r="R19" s="44">
        <f>Estimation!V24</f>
        <v>0</v>
      </c>
      <c r="S19" s="43"/>
      <c r="T19" s="44">
        <f>Estimation!X24</f>
        <v>0</v>
      </c>
      <c r="U19" s="43"/>
      <c r="V19" s="44">
        <f>Estimation!Z24</f>
        <v>0</v>
      </c>
      <c r="W19" s="43"/>
      <c r="X19" s="44">
        <f>Estimation!AB24</f>
        <v>0</v>
      </c>
      <c r="Y19" s="43"/>
      <c r="Z19" s="44">
        <f>F19+H19+J19+L19+N19+P19+R19+T19+V19+X19</f>
        <v>0</v>
      </c>
      <c r="AA19" s="43"/>
      <c r="AB19" s="33"/>
      <c r="AD19" s="180"/>
      <c r="AE19" s="180"/>
      <c r="AF19" s="180"/>
      <c r="AG19" s="180"/>
      <c r="AH19" s="180"/>
      <c r="AI19" s="180"/>
      <c r="AJ19" s="180"/>
      <c r="AK19" s="180"/>
      <c r="AL19" s="180"/>
      <c r="AM19" s="180"/>
      <c r="AN19" s="180"/>
      <c r="AO19" s="180"/>
      <c r="AP19" s="180"/>
      <c r="AQ19" s="180"/>
      <c r="AR19" s="180"/>
      <c r="AS19" s="180"/>
      <c r="AT19" s="180"/>
      <c r="AU19" s="180"/>
      <c r="AV19" s="180"/>
      <c r="AW19" s="180"/>
      <c r="AX19" s="180"/>
      <c r="AZ19" s="180"/>
    </row>
    <row r="20" spans="3:52" outlineLevel="1" x14ac:dyDescent="0.25">
      <c r="C20" s="169" t="str">
        <f>Estimation!D24</f>
        <v>0% time, 0 months, Summer</v>
      </c>
      <c r="E20" s="43"/>
      <c r="F20" s="44"/>
      <c r="G20" s="43"/>
      <c r="H20" s="44"/>
      <c r="I20" s="43"/>
      <c r="J20" s="44"/>
      <c r="K20" s="43"/>
      <c r="L20" s="44"/>
      <c r="M20" s="43"/>
      <c r="N20" s="44"/>
      <c r="O20" s="43"/>
      <c r="P20" s="44"/>
      <c r="Q20" s="43"/>
      <c r="R20" s="44"/>
      <c r="S20" s="43"/>
      <c r="T20" s="44"/>
      <c r="U20" s="43"/>
      <c r="V20" s="44"/>
      <c r="W20" s="43"/>
      <c r="X20" s="44"/>
      <c r="Y20" s="43"/>
      <c r="Z20" s="44"/>
      <c r="AA20" s="43"/>
      <c r="AB20" s="33"/>
      <c r="AD20" s="180">
        <f>Estimation!BH24</f>
        <v>0</v>
      </c>
      <c r="AE20" s="180"/>
      <c r="AF20" s="180">
        <f>Estimation!BL24</f>
        <v>0</v>
      </c>
      <c r="AG20" s="180"/>
      <c r="AH20" s="180">
        <f>Estimation!BP24</f>
        <v>0</v>
      </c>
      <c r="AI20" s="180"/>
      <c r="AJ20" s="180">
        <f>Estimation!BT24</f>
        <v>0</v>
      </c>
      <c r="AK20" s="180"/>
      <c r="AL20" s="180">
        <f>Estimation!BX24</f>
        <v>0</v>
      </c>
      <c r="AM20" s="180"/>
      <c r="AN20" s="180">
        <f>Estimation!CB24</f>
        <v>0</v>
      </c>
      <c r="AO20" s="180"/>
      <c r="AP20" s="180">
        <f>Estimation!CF24</f>
        <v>0</v>
      </c>
      <c r="AQ20" s="180"/>
      <c r="AR20" s="180">
        <f>Estimation!CJ24</f>
        <v>0</v>
      </c>
      <c r="AS20" s="180"/>
      <c r="AT20" s="180">
        <f>Estimation!CN24</f>
        <v>0</v>
      </c>
      <c r="AU20" s="180"/>
      <c r="AV20" s="180">
        <f>Estimation!CR24</f>
        <v>0</v>
      </c>
      <c r="AW20" s="180"/>
      <c r="AX20" s="180">
        <f>SUM(AD20:AV20)</f>
        <v>0</v>
      </c>
      <c r="AZ20" s="62" t="str">
        <f>Estimation!BE24</f>
        <v>Summer</v>
      </c>
    </row>
    <row r="21" spans="3:52" outlineLevel="1" x14ac:dyDescent="0.25">
      <c r="C21" s="152" t="str">
        <f>Estimation!C25</f>
        <v xml:space="preserve">Co-PI: </v>
      </c>
      <c r="E21" s="43"/>
      <c r="F21" s="44">
        <f>Estimation!J26</f>
        <v>0</v>
      </c>
      <c r="G21" s="43"/>
      <c r="H21" s="44">
        <f>Estimation!L26</f>
        <v>0</v>
      </c>
      <c r="I21" s="43"/>
      <c r="J21" s="44">
        <f>Estimation!N26</f>
        <v>0</v>
      </c>
      <c r="K21" s="43"/>
      <c r="L21" s="44">
        <f>Estimation!P26</f>
        <v>0</v>
      </c>
      <c r="M21" s="43"/>
      <c r="N21" s="44">
        <f>Estimation!R26</f>
        <v>0</v>
      </c>
      <c r="O21" s="43"/>
      <c r="P21" s="44">
        <f>Estimation!T26</f>
        <v>0</v>
      </c>
      <c r="Q21" s="43"/>
      <c r="R21" s="44">
        <f>Estimation!V26</f>
        <v>0</v>
      </c>
      <c r="S21" s="43"/>
      <c r="T21" s="44">
        <f>Estimation!X26</f>
        <v>0</v>
      </c>
      <c r="U21" s="43"/>
      <c r="V21" s="44">
        <f>Estimation!Z26</f>
        <v>0</v>
      </c>
      <c r="W21" s="43"/>
      <c r="X21" s="44">
        <f>Estimation!AB26</f>
        <v>0</v>
      </c>
      <c r="Y21" s="43"/>
      <c r="Z21" s="44">
        <f>F21+H21+J21+L21+N21+P21+R21+T21+V21+X21</f>
        <v>0</v>
      </c>
      <c r="AA21" s="43"/>
      <c r="AB21" s="33"/>
      <c r="AD21" s="180"/>
      <c r="AE21" s="180"/>
      <c r="AF21" s="180"/>
      <c r="AG21" s="180"/>
      <c r="AH21" s="180"/>
      <c r="AI21" s="180"/>
      <c r="AJ21" s="180"/>
      <c r="AK21" s="180"/>
      <c r="AL21" s="180"/>
      <c r="AM21" s="180"/>
      <c r="AN21" s="180"/>
      <c r="AO21" s="180"/>
      <c r="AP21" s="180"/>
      <c r="AQ21" s="180"/>
      <c r="AR21" s="180"/>
      <c r="AS21" s="180"/>
      <c r="AT21" s="180"/>
      <c r="AU21" s="180"/>
      <c r="AV21" s="180"/>
      <c r="AW21" s="180"/>
      <c r="AX21" s="180"/>
      <c r="AZ21" s="180"/>
    </row>
    <row r="22" spans="3:52" outlineLevel="1" x14ac:dyDescent="0.25">
      <c r="C22" s="169" t="str">
        <f>Estimation!D26</f>
        <v>0% time, 0 months, Summer</v>
      </c>
      <c r="E22" s="43"/>
      <c r="F22" s="44"/>
      <c r="G22" s="43"/>
      <c r="H22" s="44"/>
      <c r="I22" s="43"/>
      <c r="J22" s="44"/>
      <c r="K22" s="43"/>
      <c r="L22" s="44"/>
      <c r="M22" s="43"/>
      <c r="N22" s="44"/>
      <c r="O22" s="43"/>
      <c r="P22" s="44"/>
      <c r="Q22" s="43"/>
      <c r="R22" s="44"/>
      <c r="S22" s="43"/>
      <c r="T22" s="44"/>
      <c r="U22" s="43"/>
      <c r="V22" s="44"/>
      <c r="W22" s="43"/>
      <c r="X22" s="44"/>
      <c r="Y22" s="43"/>
      <c r="Z22" s="44"/>
      <c r="AA22" s="43"/>
      <c r="AB22" s="33"/>
      <c r="AD22" s="180">
        <f>Estimation!BH26</f>
        <v>0</v>
      </c>
      <c r="AE22" s="180"/>
      <c r="AF22" s="180">
        <f>Estimation!BL26</f>
        <v>0</v>
      </c>
      <c r="AG22" s="180"/>
      <c r="AH22" s="180">
        <f>Estimation!BP26</f>
        <v>0</v>
      </c>
      <c r="AI22" s="180"/>
      <c r="AJ22" s="180">
        <f>Estimation!BT26</f>
        <v>0</v>
      </c>
      <c r="AK22" s="180"/>
      <c r="AL22" s="180">
        <f>Estimation!BX26</f>
        <v>0</v>
      </c>
      <c r="AM22" s="180"/>
      <c r="AN22" s="180">
        <f>Estimation!CB26</f>
        <v>0</v>
      </c>
      <c r="AO22" s="180"/>
      <c r="AP22" s="180">
        <f>Estimation!CF26</f>
        <v>0</v>
      </c>
      <c r="AQ22" s="180"/>
      <c r="AR22" s="180">
        <f>Estimation!CJ26</f>
        <v>0</v>
      </c>
      <c r="AS22" s="180"/>
      <c r="AT22" s="180">
        <f>Estimation!CN26</f>
        <v>0</v>
      </c>
      <c r="AU22" s="180"/>
      <c r="AV22" s="180">
        <f>Estimation!CR26</f>
        <v>0</v>
      </c>
      <c r="AW22" s="180"/>
      <c r="AX22" s="180">
        <f>SUM(AD22:AV22)</f>
        <v>0</v>
      </c>
      <c r="AZ22" s="62" t="str">
        <f>Estimation!BE26</f>
        <v>Summer</v>
      </c>
    </row>
    <row r="23" spans="3:52" outlineLevel="1" x14ac:dyDescent="0.25">
      <c r="C23" s="152" t="str">
        <f>Estimation!C27</f>
        <v xml:space="preserve">Co-PI: </v>
      </c>
      <c r="E23" s="43"/>
      <c r="F23" s="44">
        <f>Estimation!J28</f>
        <v>0</v>
      </c>
      <c r="G23" s="43"/>
      <c r="H23" s="44">
        <f>Estimation!L28</f>
        <v>0</v>
      </c>
      <c r="I23" s="43"/>
      <c r="J23" s="44">
        <f>Estimation!N28</f>
        <v>0</v>
      </c>
      <c r="K23" s="43"/>
      <c r="L23" s="44">
        <f>Estimation!P28</f>
        <v>0</v>
      </c>
      <c r="M23" s="43"/>
      <c r="N23" s="44">
        <f>Estimation!R28</f>
        <v>0</v>
      </c>
      <c r="O23" s="43"/>
      <c r="P23" s="44">
        <f>Estimation!T28</f>
        <v>0</v>
      </c>
      <c r="Q23" s="43"/>
      <c r="R23" s="44">
        <f>Estimation!V28</f>
        <v>0</v>
      </c>
      <c r="S23" s="43"/>
      <c r="T23" s="44">
        <f>Estimation!X28</f>
        <v>0</v>
      </c>
      <c r="U23" s="43"/>
      <c r="V23" s="44">
        <f>Estimation!Z28</f>
        <v>0</v>
      </c>
      <c r="W23" s="43"/>
      <c r="X23" s="44">
        <f>Estimation!AB28</f>
        <v>0</v>
      </c>
      <c r="Y23" s="43"/>
      <c r="Z23" s="44">
        <f>F23+H23+J23+L23+N23+P23+R23+T23+V23+X23</f>
        <v>0</v>
      </c>
      <c r="AA23" s="43"/>
      <c r="AB23" s="33"/>
      <c r="AD23" s="180"/>
      <c r="AE23" s="180"/>
      <c r="AF23" s="180"/>
      <c r="AG23" s="180"/>
      <c r="AH23" s="180"/>
      <c r="AI23" s="180"/>
      <c r="AJ23" s="180"/>
      <c r="AK23" s="180"/>
      <c r="AL23" s="180"/>
      <c r="AM23" s="180"/>
      <c r="AN23" s="180"/>
      <c r="AO23" s="180"/>
      <c r="AP23" s="180"/>
      <c r="AQ23" s="180"/>
      <c r="AR23" s="180"/>
      <c r="AS23" s="180"/>
      <c r="AT23" s="180"/>
      <c r="AU23" s="180"/>
      <c r="AV23" s="180"/>
      <c r="AW23" s="180"/>
      <c r="AX23" s="180"/>
      <c r="AZ23" s="180"/>
    </row>
    <row r="24" spans="3:52" outlineLevel="1" x14ac:dyDescent="0.25">
      <c r="C24" s="169" t="str">
        <f>Estimation!D28</f>
        <v>0% time, 0 months, Summer</v>
      </c>
      <c r="E24" s="43"/>
      <c r="F24" s="44"/>
      <c r="G24" s="43"/>
      <c r="H24" s="44"/>
      <c r="I24" s="43"/>
      <c r="J24" s="44"/>
      <c r="K24" s="43"/>
      <c r="L24" s="44"/>
      <c r="M24" s="43"/>
      <c r="N24" s="44"/>
      <c r="O24" s="43"/>
      <c r="P24" s="44"/>
      <c r="Q24" s="43"/>
      <c r="R24" s="44"/>
      <c r="S24" s="43"/>
      <c r="T24" s="44"/>
      <c r="U24" s="43"/>
      <c r="V24" s="44"/>
      <c r="W24" s="43"/>
      <c r="X24" s="44"/>
      <c r="Y24" s="43"/>
      <c r="Z24" s="44"/>
      <c r="AA24" s="43"/>
      <c r="AB24" s="33"/>
      <c r="AD24" s="180">
        <f>Estimation!BH28</f>
        <v>0</v>
      </c>
      <c r="AE24" s="180"/>
      <c r="AF24" s="180">
        <f>Estimation!BL28</f>
        <v>0</v>
      </c>
      <c r="AG24" s="180"/>
      <c r="AH24" s="180">
        <f>Estimation!BP28</f>
        <v>0</v>
      </c>
      <c r="AI24" s="180"/>
      <c r="AJ24" s="180">
        <f>Estimation!BT28</f>
        <v>0</v>
      </c>
      <c r="AK24" s="180"/>
      <c r="AL24" s="180">
        <f>Estimation!BX28</f>
        <v>0</v>
      </c>
      <c r="AM24" s="180"/>
      <c r="AN24" s="180">
        <f>Estimation!CB28</f>
        <v>0</v>
      </c>
      <c r="AO24" s="180"/>
      <c r="AP24" s="180">
        <f>Estimation!CF28</f>
        <v>0</v>
      </c>
      <c r="AQ24" s="180"/>
      <c r="AR24" s="180">
        <f>Estimation!CJ28</f>
        <v>0</v>
      </c>
      <c r="AS24" s="180"/>
      <c r="AT24" s="180">
        <f>Estimation!CN28</f>
        <v>0</v>
      </c>
      <c r="AU24" s="180"/>
      <c r="AV24" s="180">
        <f>Estimation!CR28</f>
        <v>0</v>
      </c>
      <c r="AW24" s="180"/>
      <c r="AX24" s="180">
        <f>SUM(AD24:AV24)</f>
        <v>0</v>
      </c>
      <c r="AZ24" s="62" t="str">
        <f>Estimation!BE28</f>
        <v>Summer</v>
      </c>
    </row>
    <row r="25" spans="3:52" outlineLevel="1" x14ac:dyDescent="0.25">
      <c r="C25" s="152" t="str">
        <f>Estimation!C29</f>
        <v xml:space="preserve">Co-PI: </v>
      </c>
      <c r="E25" s="43"/>
      <c r="F25" s="44">
        <f>Estimation!J30</f>
        <v>0</v>
      </c>
      <c r="G25" s="43"/>
      <c r="H25" s="44">
        <f>Estimation!L30</f>
        <v>0</v>
      </c>
      <c r="I25" s="43"/>
      <c r="J25" s="44">
        <f>Estimation!N30</f>
        <v>0</v>
      </c>
      <c r="K25" s="43"/>
      <c r="L25" s="44">
        <f>Estimation!P30</f>
        <v>0</v>
      </c>
      <c r="M25" s="43"/>
      <c r="N25" s="44">
        <f>Estimation!R30</f>
        <v>0</v>
      </c>
      <c r="O25" s="43"/>
      <c r="P25" s="44">
        <f>Estimation!T30</f>
        <v>0</v>
      </c>
      <c r="Q25" s="43"/>
      <c r="R25" s="44">
        <f>Estimation!V30</f>
        <v>0</v>
      </c>
      <c r="S25" s="43"/>
      <c r="T25" s="44">
        <f>Estimation!X30</f>
        <v>0</v>
      </c>
      <c r="U25" s="43"/>
      <c r="V25" s="44">
        <f>Estimation!Z30</f>
        <v>0</v>
      </c>
      <c r="W25" s="43"/>
      <c r="X25" s="44">
        <f>Estimation!AB30</f>
        <v>0</v>
      </c>
      <c r="Y25" s="43"/>
      <c r="Z25" s="44">
        <f>F25+H25+J25+L25+N25+P25+R25+T25+V25+X25</f>
        <v>0</v>
      </c>
      <c r="AA25" s="43"/>
      <c r="AB25" s="33"/>
      <c r="AD25" s="180"/>
      <c r="AE25" s="180"/>
      <c r="AF25" s="180"/>
      <c r="AG25" s="180"/>
      <c r="AH25" s="180"/>
      <c r="AI25" s="180"/>
      <c r="AJ25" s="180"/>
      <c r="AK25" s="180"/>
      <c r="AL25" s="180"/>
      <c r="AM25" s="180"/>
      <c r="AN25" s="180"/>
      <c r="AO25" s="180"/>
      <c r="AP25" s="180"/>
      <c r="AQ25" s="180"/>
      <c r="AR25" s="180"/>
      <c r="AS25" s="180"/>
      <c r="AT25" s="180"/>
      <c r="AU25" s="180"/>
      <c r="AV25" s="180"/>
      <c r="AW25" s="180"/>
      <c r="AX25" s="180"/>
      <c r="AZ25" s="180"/>
    </row>
    <row r="26" spans="3:52" outlineLevel="1" x14ac:dyDescent="0.25">
      <c r="C26" s="169" t="str">
        <f>Estimation!D30</f>
        <v>0% time, 0 months, Summer</v>
      </c>
      <c r="E26" s="43"/>
      <c r="F26" s="44"/>
      <c r="G26" s="43"/>
      <c r="H26" s="44"/>
      <c r="I26" s="43"/>
      <c r="J26" s="44"/>
      <c r="K26" s="43"/>
      <c r="L26" s="44"/>
      <c r="M26" s="43"/>
      <c r="N26" s="44"/>
      <c r="O26" s="43"/>
      <c r="P26" s="44"/>
      <c r="Q26" s="43"/>
      <c r="R26" s="44"/>
      <c r="S26" s="43"/>
      <c r="T26" s="44"/>
      <c r="U26" s="43"/>
      <c r="V26" s="44"/>
      <c r="W26" s="43"/>
      <c r="X26" s="44"/>
      <c r="Y26" s="43"/>
      <c r="Z26" s="44"/>
      <c r="AA26" s="43"/>
      <c r="AB26" s="33"/>
      <c r="AD26" s="180">
        <f>Estimation!BH30</f>
        <v>0</v>
      </c>
      <c r="AE26" s="180"/>
      <c r="AF26" s="180">
        <f>Estimation!BL30</f>
        <v>0</v>
      </c>
      <c r="AG26" s="180"/>
      <c r="AH26" s="180">
        <f>Estimation!BP30</f>
        <v>0</v>
      </c>
      <c r="AI26" s="180"/>
      <c r="AJ26" s="180">
        <f>Estimation!BT30</f>
        <v>0</v>
      </c>
      <c r="AK26" s="180"/>
      <c r="AL26" s="180">
        <f>Estimation!BX30</f>
        <v>0</v>
      </c>
      <c r="AM26" s="180"/>
      <c r="AN26" s="180">
        <f>Estimation!CB30</f>
        <v>0</v>
      </c>
      <c r="AO26" s="180"/>
      <c r="AP26" s="180">
        <f>Estimation!CF30</f>
        <v>0</v>
      </c>
      <c r="AQ26" s="180"/>
      <c r="AR26" s="180">
        <f>Estimation!CJ30</f>
        <v>0</v>
      </c>
      <c r="AS26" s="180"/>
      <c r="AT26" s="180">
        <f>Estimation!CN30</f>
        <v>0</v>
      </c>
      <c r="AU26" s="180"/>
      <c r="AV26" s="180">
        <f>Estimation!CR30</f>
        <v>0</v>
      </c>
      <c r="AW26" s="180"/>
      <c r="AX26" s="180">
        <f>SUM(AD26:AV26)</f>
        <v>0</v>
      </c>
      <c r="AZ26" s="62" t="str">
        <f>Estimation!BE30</f>
        <v>Summer</v>
      </c>
    </row>
    <row r="27" spans="3:52" x14ac:dyDescent="0.25">
      <c r="C27" s="45" t="s">
        <v>230</v>
      </c>
      <c r="E27" s="43"/>
      <c r="F27" s="44">
        <f>SUM(F28:F37)</f>
        <v>0</v>
      </c>
      <c r="G27" s="43"/>
      <c r="H27" s="44">
        <f>SUM(H28:H37)</f>
        <v>0</v>
      </c>
      <c r="I27" s="43"/>
      <c r="J27" s="44">
        <f>SUM(J28:J37)</f>
        <v>0</v>
      </c>
      <c r="K27" s="43"/>
      <c r="L27" s="44">
        <f>SUM(L28:L37)</f>
        <v>0</v>
      </c>
      <c r="M27" s="43"/>
      <c r="N27" s="44">
        <f>SUM(N28:N37)</f>
        <v>0</v>
      </c>
      <c r="O27" s="43"/>
      <c r="P27" s="44">
        <f>SUM(P28:P37)</f>
        <v>0</v>
      </c>
      <c r="Q27" s="43"/>
      <c r="R27" s="44">
        <f>SUM(R28:R37)</f>
        <v>0</v>
      </c>
      <c r="S27" s="43"/>
      <c r="T27" s="44">
        <f>SUM(T28:T37)</f>
        <v>0</v>
      </c>
      <c r="U27" s="43"/>
      <c r="V27" s="44">
        <f>SUM(V28:V37)</f>
        <v>0</v>
      </c>
      <c r="W27" s="43"/>
      <c r="X27" s="44">
        <f>SUM(X28:X37)</f>
        <v>0</v>
      </c>
      <c r="Y27" s="43"/>
      <c r="Z27" s="44">
        <f>F27+H27+J27+L27+N27+P27+R27+T27+V27+X27</f>
        <v>0</v>
      </c>
      <c r="AA27" s="43"/>
      <c r="AB27" s="33"/>
      <c r="AZ27" s="180"/>
    </row>
    <row r="28" spans="3:52" outlineLevel="1" x14ac:dyDescent="0.25">
      <c r="C28" s="152" t="str">
        <f>Hidden_Lookups!$A$10</f>
        <v>Regular Faculty</v>
      </c>
      <c r="E28" s="43"/>
      <c r="F28" s="44">
        <f>SUMIF(Estimation!$A$32:$A$64,$C28,Estimation!J$32:J$64)</f>
        <v>0</v>
      </c>
      <c r="G28" s="43"/>
      <c r="H28" s="44">
        <f>SUMIF(Estimation!$A$32:$A$64,$C28,Estimation!L$32:L$64)</f>
        <v>0</v>
      </c>
      <c r="I28" s="43"/>
      <c r="J28" s="44">
        <f>SUMIF(Estimation!$A$32:$A$64,$C28,Estimation!N$32:N$64)</f>
        <v>0</v>
      </c>
      <c r="K28" s="43"/>
      <c r="L28" s="44">
        <f>SUMIF(Estimation!$A$32:$A$64,$C28,Estimation!P$32:P$64)</f>
        <v>0</v>
      </c>
      <c r="M28" s="43"/>
      <c r="N28" s="44">
        <f>SUMIF(Estimation!$A$32:$A$64,$C28,Estimation!R$32:R$64)</f>
        <v>0</v>
      </c>
      <c r="O28" s="43"/>
      <c r="P28" s="44">
        <f>SUMIF(Estimation!$A$32:$A$64,$C28,Estimation!T$32:T$64)</f>
        <v>0</v>
      </c>
      <c r="Q28" s="43"/>
      <c r="R28" s="44">
        <f>SUMIF(Estimation!$A$32:$A$64,$C28,Estimation!V$32:V$64)</f>
        <v>0</v>
      </c>
      <c r="S28" s="43"/>
      <c r="T28" s="44">
        <f>SUMIF(Estimation!$A$32:$A$64,$C28,Estimation!X$32:X$64)</f>
        <v>0</v>
      </c>
      <c r="U28" s="43"/>
      <c r="V28" s="44">
        <f>SUMIF(Estimation!$A$32:$A$64,$C28,Estimation!Z$32:Z$64)</f>
        <v>0</v>
      </c>
      <c r="W28" s="43"/>
      <c r="X28" s="44">
        <f>SUMIF(Estimation!$A$32:$A$64,$C28,Estimation!AB$32:AB$64)</f>
        <v>0</v>
      </c>
      <c r="Y28" s="43"/>
      <c r="Z28" s="44">
        <f t="shared" ref="Z28:Z37" si="0">F28+H28+J28+L28+N28+P28+R28+T28+V28+X28</f>
        <v>0</v>
      </c>
      <c r="AA28" s="43"/>
      <c r="AB28" s="33"/>
    </row>
    <row r="29" spans="3:52" outlineLevel="1" x14ac:dyDescent="0.25">
      <c r="C29" s="152" t="str">
        <f>Hidden_Lookups!$A$11</f>
        <v>Research Associate</v>
      </c>
      <c r="E29" s="43"/>
      <c r="F29" s="44">
        <f>SUMIF(Estimation!$A$32:$A$64,$C29,Estimation!J$32:J$64)</f>
        <v>0</v>
      </c>
      <c r="G29" s="43"/>
      <c r="H29" s="44">
        <f>SUMIF(Estimation!$A$32:$A$64,$C29,Estimation!L$32:L$64)</f>
        <v>0</v>
      </c>
      <c r="I29" s="43"/>
      <c r="J29" s="44">
        <f>SUMIF(Estimation!$A$32:$A$64,$C29,Estimation!N$32:N$64)</f>
        <v>0</v>
      </c>
      <c r="K29" s="43"/>
      <c r="L29" s="44">
        <f>SUMIF(Estimation!$A$32:$A$64,$C29,Estimation!P$32:P$64)</f>
        <v>0</v>
      </c>
      <c r="M29" s="43"/>
      <c r="N29" s="44">
        <f>SUMIF(Estimation!$A$32:$A$64,$C29,Estimation!R$32:R$64)</f>
        <v>0</v>
      </c>
      <c r="O29" s="43"/>
      <c r="P29" s="44">
        <f>SUMIF(Estimation!$A$32:$A$64,$C29,Estimation!T$32:T$64)</f>
        <v>0</v>
      </c>
      <c r="Q29" s="43"/>
      <c r="R29" s="44">
        <f>SUMIF(Estimation!$A$32:$A$64,$C29,Estimation!V$32:V$64)</f>
        <v>0</v>
      </c>
      <c r="S29" s="43"/>
      <c r="T29" s="44">
        <f>SUMIF(Estimation!$A$32:$A$64,$C29,Estimation!X$32:X$64)</f>
        <v>0</v>
      </c>
      <c r="U29" s="43"/>
      <c r="V29" s="44">
        <f>SUMIF(Estimation!$A$32:$A$64,$C29,Estimation!Z$32:Z$64)</f>
        <v>0</v>
      </c>
      <c r="W29" s="43"/>
      <c r="X29" s="44">
        <f>SUMIF(Estimation!$A$32:$A$64,$C29,Estimation!AB$32:AB$64)</f>
        <v>0</v>
      </c>
      <c r="Y29" s="43"/>
      <c r="Z29" s="44">
        <f t="shared" si="0"/>
        <v>0</v>
      </c>
      <c r="AA29" s="43"/>
      <c r="AB29" s="33"/>
    </row>
    <row r="30" spans="3:52" outlineLevel="1" x14ac:dyDescent="0.25">
      <c r="C30" s="152" t="str">
        <f>Hidden_Lookups!$A$7</f>
        <v>Post Doctoral Associate</v>
      </c>
      <c r="E30" s="43"/>
      <c r="F30" s="44">
        <f>SUMIF(Estimation!$A$32:$A$64,$C30,Estimation!J$32:J$64)</f>
        <v>0</v>
      </c>
      <c r="G30" s="43"/>
      <c r="H30" s="44">
        <f>SUMIF(Estimation!$A$32:$A$64,$C30,Estimation!L$32:L$64)</f>
        <v>0</v>
      </c>
      <c r="I30" s="43"/>
      <c r="J30" s="44">
        <f>SUMIF(Estimation!$A$32:$A$64,$C30,Estimation!N$32:N$64)</f>
        <v>0</v>
      </c>
      <c r="K30" s="43"/>
      <c r="L30" s="44">
        <f>SUMIF(Estimation!$A$32:$A$64,$C30,Estimation!P$32:P$64)</f>
        <v>0</v>
      </c>
      <c r="M30" s="43"/>
      <c r="N30" s="44">
        <f>SUMIF(Estimation!$A$32:$A$64,$C30,Estimation!R$32:R$64)</f>
        <v>0</v>
      </c>
      <c r="O30" s="43"/>
      <c r="P30" s="44">
        <f>SUMIF(Estimation!$A$32:$A$64,$C30,Estimation!T$32:T$64)</f>
        <v>0</v>
      </c>
      <c r="Q30" s="43"/>
      <c r="R30" s="44">
        <f>SUMIF(Estimation!$A$32:$A$64,$C30,Estimation!V$32:V$64)</f>
        <v>0</v>
      </c>
      <c r="S30" s="43"/>
      <c r="T30" s="44">
        <f>SUMIF(Estimation!$A$32:$A$64,$C30,Estimation!X$32:X$64)</f>
        <v>0</v>
      </c>
      <c r="U30" s="43"/>
      <c r="V30" s="44">
        <f>SUMIF(Estimation!$A$32:$A$64,$C30,Estimation!Z$32:Z$64)</f>
        <v>0</v>
      </c>
      <c r="W30" s="43"/>
      <c r="X30" s="44">
        <f>SUMIF(Estimation!$A$32:$A$64,$C30,Estimation!AB$32:AB$64)</f>
        <v>0</v>
      </c>
      <c r="Y30" s="43"/>
      <c r="Z30" s="44">
        <f t="shared" si="0"/>
        <v>0</v>
      </c>
      <c r="AA30" s="43"/>
      <c r="AB30" s="33"/>
    </row>
    <row r="31" spans="3:52" outlineLevel="1" x14ac:dyDescent="0.25">
      <c r="C31" s="152" t="e">
        <f>Hidden_Lookups!#REF!</f>
        <v>#REF!</v>
      </c>
      <c r="E31" s="43"/>
      <c r="F31" s="44">
        <f>SUMIF(Estimation!$A$32:$A$64,$C31,Estimation!J$32:J$64)</f>
        <v>0</v>
      </c>
      <c r="G31" s="43"/>
      <c r="H31" s="44">
        <f>SUMIF(Estimation!$A$32:$A$64,$C31,Estimation!L$32:L$64)</f>
        <v>0</v>
      </c>
      <c r="I31" s="43"/>
      <c r="J31" s="44">
        <f>SUMIF(Estimation!$A$32:$A$64,$C31,Estimation!N$32:N$64)</f>
        <v>0</v>
      </c>
      <c r="K31" s="43"/>
      <c r="L31" s="44">
        <f>SUMIF(Estimation!$A$32:$A$64,$C31,Estimation!P$32:P$64)</f>
        <v>0</v>
      </c>
      <c r="M31" s="43"/>
      <c r="N31" s="44">
        <f>SUMIF(Estimation!$A$32:$A$64,$C31,Estimation!R$32:R$64)</f>
        <v>0</v>
      </c>
      <c r="O31" s="43"/>
      <c r="P31" s="44">
        <f>SUMIF(Estimation!$A$32:$A$64,$C31,Estimation!T$32:T$64)</f>
        <v>0</v>
      </c>
      <c r="Q31" s="43"/>
      <c r="R31" s="44">
        <f>SUMIF(Estimation!$A$32:$A$64,$C31,Estimation!V$32:V$64)</f>
        <v>0</v>
      </c>
      <c r="S31" s="43"/>
      <c r="T31" s="44">
        <f>SUMIF(Estimation!$A$32:$A$64,$C31,Estimation!X$32:X$64)</f>
        <v>0</v>
      </c>
      <c r="U31" s="43"/>
      <c r="V31" s="44">
        <f>SUMIF(Estimation!$A$32:$A$64,$C31,Estimation!Z$32:Z$64)</f>
        <v>0</v>
      </c>
      <c r="W31" s="43"/>
      <c r="X31" s="44">
        <f>SUMIF(Estimation!$A$32:$A$64,$C31,Estimation!AB$32:AB$64)</f>
        <v>0</v>
      </c>
      <c r="Y31" s="43"/>
      <c r="Z31" s="44">
        <f t="shared" si="0"/>
        <v>0</v>
      </c>
      <c r="AA31" s="43"/>
      <c r="AB31" s="33"/>
    </row>
    <row r="32" spans="3:52" outlineLevel="1" x14ac:dyDescent="0.25">
      <c r="C32" s="152" t="str">
        <f>Hidden_Lookups!$A$9</f>
        <v>Professional Research Assistant</v>
      </c>
      <c r="E32" s="43"/>
      <c r="F32" s="44">
        <f>SUMIF(Estimation!$A$32:$A$64,$C32,Estimation!J$32:J$64)</f>
        <v>0</v>
      </c>
      <c r="G32" s="43"/>
      <c r="H32" s="44">
        <f>SUMIF(Estimation!$A$32:$A$64,$C32,Estimation!L$32:L$64)</f>
        <v>0</v>
      </c>
      <c r="I32" s="43"/>
      <c r="J32" s="44">
        <f>SUMIF(Estimation!$A$32:$A$64,$C32,Estimation!N$32:N$64)</f>
        <v>0</v>
      </c>
      <c r="K32" s="43"/>
      <c r="L32" s="44">
        <f>SUMIF(Estimation!$A$32:$A$64,$C32,Estimation!P$32:P$64)</f>
        <v>0</v>
      </c>
      <c r="M32" s="43"/>
      <c r="N32" s="44">
        <f>SUMIF(Estimation!$A$32:$A$64,$C32,Estimation!R$32:R$64)</f>
        <v>0</v>
      </c>
      <c r="O32" s="43"/>
      <c r="P32" s="44">
        <f>SUMIF(Estimation!$A$32:$A$64,$C32,Estimation!T$32:T$64)</f>
        <v>0</v>
      </c>
      <c r="Q32" s="43"/>
      <c r="R32" s="44">
        <f>SUMIF(Estimation!$A$32:$A$64,$C32,Estimation!V$32:V$64)</f>
        <v>0</v>
      </c>
      <c r="S32" s="43"/>
      <c r="T32" s="44">
        <f>SUMIF(Estimation!$A$32:$A$64,$C32,Estimation!X$32:X$64)</f>
        <v>0</v>
      </c>
      <c r="U32" s="43"/>
      <c r="V32" s="44">
        <f>SUMIF(Estimation!$A$32:$A$64,$C32,Estimation!Z$32:Z$64)</f>
        <v>0</v>
      </c>
      <c r="W32" s="43"/>
      <c r="X32" s="44">
        <f>SUMIF(Estimation!$A$32:$A$64,$C32,Estimation!AB$32:AB$64)</f>
        <v>0</v>
      </c>
      <c r="Y32" s="43"/>
      <c r="Z32" s="44">
        <f t="shared" si="0"/>
        <v>0</v>
      </c>
      <c r="AA32" s="43"/>
      <c r="AB32" s="33"/>
    </row>
    <row r="33" spans="2:28" outlineLevel="1" x14ac:dyDescent="0.25">
      <c r="C33" s="152" t="str">
        <f>Hidden_Lookups!$A$2</f>
        <v>Administrative Assistant</v>
      </c>
      <c r="E33" s="43"/>
      <c r="F33" s="44">
        <f>SUMIF(Estimation!$A$32:$A$64,$C33,Estimation!J$32:J$64)</f>
        <v>0</v>
      </c>
      <c r="G33" s="43"/>
      <c r="H33" s="44">
        <f>SUMIF(Estimation!$A$32:$A$64,$C33,Estimation!L$32:L$64)</f>
        <v>0</v>
      </c>
      <c r="I33" s="43"/>
      <c r="J33" s="44">
        <f>SUMIF(Estimation!$A$32:$A$64,$C33,Estimation!N$32:N$64)</f>
        <v>0</v>
      </c>
      <c r="K33" s="43"/>
      <c r="L33" s="44">
        <f>SUMIF(Estimation!$A$32:$A$64,$C33,Estimation!P$32:P$64)</f>
        <v>0</v>
      </c>
      <c r="M33" s="43"/>
      <c r="N33" s="44">
        <f>SUMIF(Estimation!$A$32:$A$64,$C33,Estimation!R$32:R$64)</f>
        <v>0</v>
      </c>
      <c r="O33" s="43"/>
      <c r="P33" s="44">
        <f>SUMIF(Estimation!$A$32:$A$64,$C33,Estimation!T$32:T$64)</f>
        <v>0</v>
      </c>
      <c r="Q33" s="43"/>
      <c r="R33" s="44">
        <f>SUMIF(Estimation!$A$32:$A$64,$C33,Estimation!V$32:V$64)</f>
        <v>0</v>
      </c>
      <c r="S33" s="43"/>
      <c r="T33" s="44">
        <f>SUMIF(Estimation!$A$32:$A$64,$C33,Estimation!X$32:X$64)</f>
        <v>0</v>
      </c>
      <c r="U33" s="43"/>
      <c r="V33" s="44">
        <f>SUMIF(Estimation!$A$32:$A$64,$C33,Estimation!Z$32:Z$64)</f>
        <v>0</v>
      </c>
      <c r="W33" s="43"/>
      <c r="X33" s="44">
        <f>SUMIF(Estimation!$A$32:$A$64,$C33,Estimation!AB$32:AB$64)</f>
        <v>0</v>
      </c>
      <c r="Y33" s="43"/>
      <c r="Z33" s="44">
        <f t="shared" si="0"/>
        <v>0</v>
      </c>
      <c r="AA33" s="43"/>
      <c r="AB33" s="33"/>
    </row>
    <row r="34" spans="2:28" outlineLevel="1" x14ac:dyDescent="0.25">
      <c r="C34" s="152" t="str">
        <f>Hidden_Lookups!$A$5</f>
        <v>OEP F/T or Classified Perm</v>
      </c>
      <c r="E34" s="43"/>
      <c r="F34" s="44">
        <f>SUMIF(Estimation!$A$32:$A$64,$C34,Estimation!J$32:J$64)</f>
        <v>0</v>
      </c>
      <c r="G34" s="43"/>
      <c r="H34" s="44">
        <f>SUMIF(Estimation!$A$32:$A$64,$C34,Estimation!L$32:L$64)</f>
        <v>0</v>
      </c>
      <c r="I34" s="43"/>
      <c r="J34" s="44">
        <f>SUMIF(Estimation!$A$32:$A$64,$C34,Estimation!N$32:N$64)</f>
        <v>0</v>
      </c>
      <c r="K34" s="43"/>
      <c r="L34" s="44">
        <f>SUMIF(Estimation!$A$32:$A$64,$C34,Estimation!P$32:P$64)</f>
        <v>0</v>
      </c>
      <c r="M34" s="43"/>
      <c r="N34" s="44">
        <f>SUMIF(Estimation!$A$32:$A$64,$C34,Estimation!R$32:R$64)</f>
        <v>0</v>
      </c>
      <c r="O34" s="43"/>
      <c r="P34" s="44">
        <f>SUMIF(Estimation!$A$32:$A$64,$C34,Estimation!T$32:T$64)</f>
        <v>0</v>
      </c>
      <c r="Q34" s="43"/>
      <c r="R34" s="44">
        <f>SUMIF(Estimation!$A$32:$A$64,$C34,Estimation!V$32:V$64)</f>
        <v>0</v>
      </c>
      <c r="S34" s="43"/>
      <c r="T34" s="44">
        <f>SUMIF(Estimation!$A$32:$A$64,$C34,Estimation!X$32:X$64)</f>
        <v>0</v>
      </c>
      <c r="U34" s="43"/>
      <c r="V34" s="44">
        <f>SUMIF(Estimation!$A$32:$A$64,$C34,Estimation!Z$32:Z$64)</f>
        <v>0</v>
      </c>
      <c r="W34" s="43"/>
      <c r="X34" s="44">
        <f>SUMIF(Estimation!$A$32:$A$64,$C34,Estimation!AB$32:AB$64)</f>
        <v>0</v>
      </c>
      <c r="Y34" s="43"/>
      <c r="Z34" s="44">
        <f t="shared" si="0"/>
        <v>0</v>
      </c>
      <c r="AA34" s="43"/>
      <c r="AB34" s="33"/>
    </row>
    <row r="35" spans="2:28" outlineLevel="1" x14ac:dyDescent="0.25">
      <c r="C35" s="152" t="str">
        <f>Hidden_Lookups!$A$6</f>
        <v>OEP P/T or Classified Temp</v>
      </c>
      <c r="E35" s="43"/>
      <c r="F35" s="44">
        <f>SUMIF(Estimation!$A$32:$A$64,$C35,Estimation!J$32:J$64)</f>
        <v>0</v>
      </c>
      <c r="G35" s="43"/>
      <c r="H35" s="44">
        <f>SUMIF(Estimation!$A$32:$A$64,$C35,Estimation!L$32:L$64)</f>
        <v>0</v>
      </c>
      <c r="I35" s="43"/>
      <c r="J35" s="44">
        <f>SUMIF(Estimation!$A$32:$A$64,$C35,Estimation!N$32:N$64)</f>
        <v>0</v>
      </c>
      <c r="K35" s="43"/>
      <c r="L35" s="44">
        <f>SUMIF(Estimation!$A$32:$A$64,$C35,Estimation!P$32:P$64)</f>
        <v>0</v>
      </c>
      <c r="M35" s="43"/>
      <c r="N35" s="44">
        <f>SUMIF(Estimation!$A$32:$A$64,$C35,Estimation!R$32:R$64)</f>
        <v>0</v>
      </c>
      <c r="O35" s="43"/>
      <c r="P35" s="44">
        <f>SUMIF(Estimation!$A$32:$A$64,$C35,Estimation!T$32:T$64)</f>
        <v>0</v>
      </c>
      <c r="Q35" s="43"/>
      <c r="R35" s="44">
        <f>SUMIF(Estimation!$A$32:$A$64,$C35,Estimation!V$32:V$64)</f>
        <v>0</v>
      </c>
      <c r="S35" s="43"/>
      <c r="T35" s="44">
        <f>SUMIF(Estimation!$A$32:$A$64,$C35,Estimation!X$32:X$64)</f>
        <v>0</v>
      </c>
      <c r="U35" s="43"/>
      <c r="V35" s="44">
        <f>SUMIF(Estimation!$A$32:$A$64,$C35,Estimation!Z$32:Z$64)</f>
        <v>0</v>
      </c>
      <c r="W35" s="43"/>
      <c r="X35" s="44">
        <f>SUMIF(Estimation!$A$32:$A$64,$C35,Estimation!AB$32:AB$64)</f>
        <v>0</v>
      </c>
      <c r="Y35" s="43"/>
      <c r="Z35" s="44">
        <f t="shared" si="0"/>
        <v>0</v>
      </c>
      <c r="AA35" s="43"/>
      <c r="AB35" s="33"/>
    </row>
    <row r="36" spans="2:28" outlineLevel="1" x14ac:dyDescent="0.25">
      <c r="C36" s="152" t="str">
        <f>Hidden_Lookups!$A$3</f>
        <v>Graduate Research Assistant</v>
      </c>
      <c r="E36" s="43"/>
      <c r="F36" s="44">
        <f>SUMIF(Estimation!$A$32:$A$64,$C36,Estimation!J$32:J$64)</f>
        <v>0</v>
      </c>
      <c r="G36" s="43"/>
      <c r="H36" s="44">
        <f>SUMIF(Estimation!$A$32:$A$64,$C36,Estimation!L$32:L$64)</f>
        <v>0</v>
      </c>
      <c r="I36" s="43"/>
      <c r="J36" s="44">
        <f>SUMIF(Estimation!$A$32:$A$64,$C36,Estimation!N$32:N$64)</f>
        <v>0</v>
      </c>
      <c r="K36" s="43"/>
      <c r="L36" s="44">
        <f>SUMIF(Estimation!$A$32:$A$64,$C36,Estimation!P$32:P$64)</f>
        <v>0</v>
      </c>
      <c r="M36" s="43"/>
      <c r="N36" s="44">
        <f>SUMIF(Estimation!$A$32:$A$64,$C36,Estimation!R$32:R$64)</f>
        <v>0</v>
      </c>
      <c r="O36" s="43"/>
      <c r="P36" s="44">
        <f>SUMIF(Estimation!$A$32:$A$64,$C36,Estimation!T$32:T$64)</f>
        <v>0</v>
      </c>
      <c r="Q36" s="43"/>
      <c r="R36" s="44">
        <f>SUMIF(Estimation!$A$32:$A$64,$C36,Estimation!V$32:V$64)</f>
        <v>0</v>
      </c>
      <c r="S36" s="43"/>
      <c r="T36" s="44">
        <f>SUMIF(Estimation!$A$32:$A$64,$C36,Estimation!X$32:X$64)</f>
        <v>0</v>
      </c>
      <c r="U36" s="43"/>
      <c r="V36" s="44">
        <f>SUMIF(Estimation!$A$32:$A$64,$C36,Estimation!Z$32:Z$64)</f>
        <v>0</v>
      </c>
      <c r="W36" s="43"/>
      <c r="X36" s="44">
        <f>SUMIF(Estimation!$A$32:$A$64,$C36,Estimation!AB$32:AB$64)</f>
        <v>0</v>
      </c>
      <c r="Y36" s="43"/>
      <c r="Z36" s="44">
        <f t="shared" si="0"/>
        <v>0</v>
      </c>
      <c r="AA36" s="43"/>
      <c r="AB36" s="33"/>
    </row>
    <row r="37" spans="2:28" outlineLevel="1" x14ac:dyDescent="0.25">
      <c r="C37" s="152" t="str">
        <f>Hidden_Lookups!$A$4</f>
        <v>Hourly</v>
      </c>
      <c r="E37" s="43"/>
      <c r="F37" s="44">
        <f>SUMIF(Estimation!$A$32:$A$64,$C37,Estimation!J$32:J$64)</f>
        <v>0</v>
      </c>
      <c r="G37" s="43"/>
      <c r="H37" s="44">
        <f>SUMIF(Estimation!$A$32:$A$64,$C37,Estimation!L$32:L$64)</f>
        <v>0</v>
      </c>
      <c r="I37" s="43"/>
      <c r="J37" s="44">
        <f>SUMIF(Estimation!$A$32:$A$64,$C37,Estimation!N$32:N$64)</f>
        <v>0</v>
      </c>
      <c r="K37" s="43"/>
      <c r="L37" s="44">
        <f>SUMIF(Estimation!$A$32:$A$64,$C37,Estimation!P$32:P$64)</f>
        <v>0</v>
      </c>
      <c r="M37" s="43"/>
      <c r="N37" s="44">
        <f>SUMIF(Estimation!$A$32:$A$64,$C37,Estimation!R$32:R$64)</f>
        <v>0</v>
      </c>
      <c r="O37" s="43"/>
      <c r="P37" s="44">
        <f>SUMIF(Estimation!$A$32:$A$64,$C37,Estimation!T$32:T$64)</f>
        <v>0</v>
      </c>
      <c r="Q37" s="43"/>
      <c r="R37" s="44">
        <f>SUMIF(Estimation!$A$32:$A$64,$C37,Estimation!V$32:V$64)</f>
        <v>0</v>
      </c>
      <c r="S37" s="43"/>
      <c r="T37" s="44">
        <f>SUMIF(Estimation!$A$32:$A$64,$C37,Estimation!X$32:X$64)</f>
        <v>0</v>
      </c>
      <c r="U37" s="43"/>
      <c r="V37" s="44">
        <f>SUMIF(Estimation!$A$32:$A$64,$C37,Estimation!Z$32:Z$64)</f>
        <v>0</v>
      </c>
      <c r="W37" s="43"/>
      <c r="X37" s="44">
        <f>SUMIF(Estimation!$A$32:$A$64,$C37,Estimation!AB$32:AB$64)</f>
        <v>0</v>
      </c>
      <c r="Y37" s="43"/>
      <c r="Z37" s="44">
        <f t="shared" si="0"/>
        <v>0</v>
      </c>
      <c r="AA37" s="43"/>
      <c r="AB37" s="33"/>
    </row>
    <row r="38" spans="2:28" ht="9.4" customHeight="1" x14ac:dyDescent="0.25">
      <c r="B38" s="45"/>
      <c r="C38" s="45"/>
      <c r="E38" s="151"/>
      <c r="F38" s="75"/>
      <c r="G38" s="151"/>
      <c r="H38" s="75"/>
      <c r="I38" s="151"/>
      <c r="J38" s="75"/>
      <c r="K38" s="151"/>
      <c r="L38" s="75"/>
      <c r="M38" s="151"/>
      <c r="N38" s="75"/>
      <c r="O38" s="151"/>
      <c r="P38" s="75"/>
      <c r="Q38" s="151"/>
      <c r="R38" s="75"/>
      <c r="S38" s="151"/>
      <c r="T38" s="75"/>
      <c r="U38" s="151"/>
      <c r="V38" s="75"/>
      <c r="W38" s="151"/>
      <c r="X38" s="75"/>
      <c r="Y38" s="151"/>
      <c r="Z38" s="75"/>
      <c r="AA38" s="151"/>
      <c r="AB38" s="33"/>
    </row>
    <row r="39" spans="2:28" x14ac:dyDescent="0.25">
      <c r="B39" s="45"/>
      <c r="C39" s="45"/>
      <c r="D39" s="162" t="s">
        <v>4</v>
      </c>
      <c r="E39" s="149"/>
      <c r="F39" s="44">
        <f>F27+F16</f>
        <v>0</v>
      </c>
      <c r="G39" s="149"/>
      <c r="H39" s="44">
        <f>H27+H16</f>
        <v>0</v>
      </c>
      <c r="I39" s="149"/>
      <c r="J39" s="44">
        <f>J27+J16</f>
        <v>0</v>
      </c>
      <c r="K39" s="149"/>
      <c r="L39" s="44">
        <f>L27+L16</f>
        <v>0</v>
      </c>
      <c r="M39" s="149"/>
      <c r="N39" s="44">
        <f>N27+N16</f>
        <v>0</v>
      </c>
      <c r="O39" s="149"/>
      <c r="P39" s="44">
        <f>P27+P16</f>
        <v>0</v>
      </c>
      <c r="Q39" s="149"/>
      <c r="R39" s="44">
        <f>R27+R16</f>
        <v>0</v>
      </c>
      <c r="S39" s="149"/>
      <c r="T39" s="44">
        <f>T27+T16</f>
        <v>0</v>
      </c>
      <c r="U39" s="149"/>
      <c r="V39" s="44">
        <f>V27+V16</f>
        <v>0</v>
      </c>
      <c r="W39" s="149"/>
      <c r="X39" s="44">
        <f>X27+X16</f>
        <v>0</v>
      </c>
      <c r="Y39" s="149"/>
      <c r="Z39" s="44">
        <f>SUM(F39:X39)</f>
        <v>0</v>
      </c>
      <c r="AA39" s="149"/>
      <c r="AB39" s="33"/>
    </row>
    <row r="40" spans="2:28" x14ac:dyDescent="0.25">
      <c r="B40" s="45"/>
      <c r="C40" s="45"/>
      <c r="D40" s="162"/>
      <c r="E40" s="149"/>
      <c r="F40" s="44"/>
      <c r="G40" s="149"/>
      <c r="H40" s="44"/>
      <c r="I40" s="149"/>
      <c r="J40" s="44"/>
      <c r="K40" s="149"/>
      <c r="L40" s="44"/>
      <c r="M40" s="149"/>
      <c r="N40" s="44"/>
      <c r="O40" s="149"/>
      <c r="P40" s="44"/>
      <c r="Q40" s="149"/>
      <c r="R40" s="44"/>
      <c r="S40" s="149"/>
      <c r="T40" s="44"/>
      <c r="U40" s="149"/>
      <c r="V40" s="44"/>
      <c r="W40" s="149"/>
      <c r="X40" s="44"/>
      <c r="Y40" s="149"/>
      <c r="Z40" s="44"/>
      <c r="AA40" s="149"/>
      <c r="AB40" s="33"/>
    </row>
    <row r="41" spans="2:28" x14ac:dyDescent="0.25">
      <c r="B41" s="46" t="s">
        <v>226</v>
      </c>
      <c r="C41" s="46"/>
      <c r="D41" s="46"/>
      <c r="E41" s="149"/>
      <c r="F41" s="44"/>
      <c r="G41" s="149"/>
      <c r="H41" s="44"/>
      <c r="I41" s="149"/>
      <c r="J41" s="44"/>
      <c r="K41" s="149"/>
      <c r="L41" s="44"/>
      <c r="M41" s="149"/>
      <c r="N41" s="44"/>
      <c r="O41" s="149"/>
      <c r="P41" s="44"/>
      <c r="Q41" s="149"/>
      <c r="R41" s="44"/>
      <c r="S41" s="149"/>
      <c r="T41" s="44"/>
      <c r="U41" s="149"/>
      <c r="V41" s="44"/>
      <c r="W41" s="149"/>
      <c r="X41" s="44"/>
      <c r="Y41" s="149"/>
      <c r="Z41" s="44"/>
      <c r="AA41" s="149"/>
      <c r="AB41" s="33"/>
    </row>
    <row r="42" spans="2:28" outlineLevel="1" x14ac:dyDescent="0.25">
      <c r="C42" s="152" t="str">
        <f>Hidden_Lookups!$A$10</f>
        <v>Regular Faculty</v>
      </c>
      <c r="E42" s="149"/>
      <c r="F42" s="44">
        <f>SUMIF(Estimation!$A$69:$A$86,$C42,Estimation!J$69:J$86)</f>
        <v>0</v>
      </c>
      <c r="G42" s="149"/>
      <c r="H42" s="44">
        <f>SUMIF(Estimation!$A$69:$A$86,$C42,Estimation!L$69:L$86)</f>
        <v>0</v>
      </c>
      <c r="I42" s="149"/>
      <c r="J42" s="44">
        <f>SUMIF(Estimation!$A$69:$A$86,$C42,Estimation!N$69:N$86)</f>
        <v>0</v>
      </c>
      <c r="K42" s="149"/>
      <c r="L42" s="44">
        <f>SUMIF(Estimation!$A$69:$A$86,$C42,Estimation!P$69:P$86)</f>
        <v>0</v>
      </c>
      <c r="M42" s="149"/>
      <c r="N42" s="44">
        <f>SUMIF(Estimation!$A$69:$A$86,$C42,Estimation!R$69:R$86)</f>
        <v>0</v>
      </c>
      <c r="O42" s="149"/>
      <c r="P42" s="44">
        <f>SUMIF(Estimation!$A$69:$A$86,$C42,Estimation!T$69:T$86)</f>
        <v>0</v>
      </c>
      <c r="Q42" s="149"/>
      <c r="R42" s="44">
        <f>SUMIF(Estimation!$A$69:$A$86,$C42,Estimation!V$69:V$86)</f>
        <v>0</v>
      </c>
      <c r="S42" s="149"/>
      <c r="T42" s="44">
        <f>SUMIF(Estimation!$A$69:$A$86,$C42,Estimation!X$69:X$86)</f>
        <v>0</v>
      </c>
      <c r="U42" s="149"/>
      <c r="V42" s="44">
        <f>SUMIF(Estimation!$A$69:$A$86,$C42,Estimation!Z$69:Z$86)</f>
        <v>0</v>
      </c>
      <c r="W42" s="149"/>
      <c r="X42" s="44">
        <f>SUMIF(Estimation!$A$69:$A$86,$C42,Estimation!AB$69:AB$86)</f>
        <v>0</v>
      </c>
      <c r="Y42" s="149"/>
      <c r="Z42" s="44">
        <f>SUM(F42:X42)</f>
        <v>0</v>
      </c>
      <c r="AA42" s="149"/>
      <c r="AB42" s="33"/>
    </row>
    <row r="43" spans="2:28" outlineLevel="1" x14ac:dyDescent="0.25">
      <c r="C43" s="152" t="s">
        <v>364</v>
      </c>
      <c r="E43" s="149"/>
      <c r="F43" s="44">
        <f>SUMIF(Estimation!$A$69:$A$86,$C43,Estimation!J$69:J$86)</f>
        <v>0</v>
      </c>
      <c r="G43" s="149"/>
      <c r="H43" s="44">
        <f>SUMIF(Estimation!$A$69:$A$86,$C43,Estimation!L$69:L$86)</f>
        <v>0</v>
      </c>
      <c r="I43" s="149"/>
      <c r="J43" s="44">
        <f>SUMIF(Estimation!$A$69:$A$86,$C43,Estimation!N$69:N$86)</f>
        <v>0</v>
      </c>
      <c r="K43" s="149"/>
      <c r="L43" s="44">
        <f>SUMIF(Estimation!$A$69:$A$86,$C43,Estimation!P$69:P$86)</f>
        <v>0</v>
      </c>
      <c r="M43" s="149"/>
      <c r="N43" s="44">
        <f>SUMIF(Estimation!$A$69:$A$86,$C43,Estimation!R$69:R$86)</f>
        <v>0</v>
      </c>
      <c r="O43" s="149"/>
      <c r="P43" s="44"/>
      <c r="Q43" s="149"/>
      <c r="R43" s="44"/>
      <c r="S43" s="149"/>
      <c r="T43" s="44"/>
      <c r="U43" s="149"/>
      <c r="V43" s="44"/>
      <c r="W43" s="149"/>
      <c r="X43" s="44"/>
      <c r="Y43" s="149"/>
      <c r="Z43" s="44">
        <f>SUM(F43:X43)</f>
        <v>0</v>
      </c>
      <c r="AA43" s="149"/>
      <c r="AB43" s="33"/>
    </row>
    <row r="44" spans="2:28" outlineLevel="1" x14ac:dyDescent="0.25">
      <c r="C44" s="152" t="str">
        <f>Hidden_Lookups!$A$11</f>
        <v>Research Associate</v>
      </c>
      <c r="E44" s="149"/>
      <c r="F44" s="44">
        <f>SUMIF(Estimation!$A$69:$A$86,$C44,Estimation!J$69:J$86)</f>
        <v>0</v>
      </c>
      <c r="G44" s="149"/>
      <c r="H44" s="44">
        <f>SUMIF(Estimation!$A$69:$A$86,$C44,Estimation!L$69:L$86)</f>
        <v>0</v>
      </c>
      <c r="I44" s="149"/>
      <c r="J44" s="44">
        <f>SUMIF(Estimation!$A$69:$A$86,$C44,Estimation!N$69:N$86)</f>
        <v>0</v>
      </c>
      <c r="K44" s="149"/>
      <c r="L44" s="44">
        <f>SUMIF(Estimation!$A$69:$A$86,$C44,Estimation!P$69:P$86)</f>
        <v>0</v>
      </c>
      <c r="M44" s="149"/>
      <c r="N44" s="44">
        <f>SUMIF(Estimation!$A$69:$A$86,$C44,Estimation!R$69:R$86)</f>
        <v>0</v>
      </c>
      <c r="O44" s="149"/>
      <c r="P44" s="44">
        <f>SUMIF(Estimation!$A$69:$A$86,$C44,Estimation!T$69:T$86)</f>
        <v>0</v>
      </c>
      <c r="Q44" s="149"/>
      <c r="R44" s="44">
        <f>SUMIF(Estimation!$A$69:$A$86,$C44,Estimation!V$69:V$86)</f>
        <v>0</v>
      </c>
      <c r="S44" s="149"/>
      <c r="T44" s="44">
        <f>SUMIF(Estimation!$A$69:$A$86,$C44,Estimation!X$69:X$86)</f>
        <v>0</v>
      </c>
      <c r="U44" s="149"/>
      <c r="V44" s="44">
        <f>SUMIF(Estimation!$A$69:$A$86,$C44,Estimation!Z$69:Z$86)</f>
        <v>0</v>
      </c>
      <c r="W44" s="149"/>
      <c r="X44" s="44">
        <f>SUMIF(Estimation!$A$69:$A$86,$C44,Estimation!AB$69:AB$86)</f>
        <v>0</v>
      </c>
      <c r="Y44" s="149"/>
      <c r="Z44" s="44">
        <f>SUM(F44:X44)</f>
        <v>0</v>
      </c>
      <c r="AA44" s="149"/>
      <c r="AB44" s="33"/>
    </row>
    <row r="45" spans="2:28" outlineLevel="1" x14ac:dyDescent="0.25">
      <c r="C45" s="152" t="str">
        <f>Hidden_Lookups!$A$7</f>
        <v>Post Doctoral Associate</v>
      </c>
      <c r="E45" s="149"/>
      <c r="F45" s="44">
        <f>SUMIF(Estimation!$A$69:$A$86,$C45,Estimation!J$69:J$86)</f>
        <v>0</v>
      </c>
      <c r="G45" s="149"/>
      <c r="H45" s="44">
        <f>SUMIF(Estimation!$A$69:$A$86,$C45,Estimation!L$69:L$86)</f>
        <v>0</v>
      </c>
      <c r="I45" s="149"/>
      <c r="J45" s="44">
        <f>SUMIF(Estimation!$A$69:$A$86,$C45,Estimation!N$69:N$86)</f>
        <v>0</v>
      </c>
      <c r="K45" s="149"/>
      <c r="L45" s="44">
        <f>SUMIF(Estimation!$A$69:$A$86,$C45,Estimation!P$69:P$86)</f>
        <v>0</v>
      </c>
      <c r="M45" s="149"/>
      <c r="N45" s="44">
        <f>SUMIF(Estimation!$A$69:$A$86,$C45,Estimation!R$69:R$86)</f>
        <v>0</v>
      </c>
      <c r="O45" s="149"/>
      <c r="P45" s="44">
        <f>SUMIF(Estimation!$A$69:$A$86,$C45,Estimation!T$69:T$86)</f>
        <v>0</v>
      </c>
      <c r="Q45" s="149"/>
      <c r="R45" s="44">
        <f>SUMIF(Estimation!$A$69:$A$86,$C45,Estimation!V$69:V$86)</f>
        <v>0</v>
      </c>
      <c r="S45" s="149"/>
      <c r="T45" s="44">
        <f>SUMIF(Estimation!$A$69:$A$86,$C45,Estimation!X$69:X$86)</f>
        <v>0</v>
      </c>
      <c r="U45" s="149"/>
      <c r="V45" s="44">
        <f>SUMIF(Estimation!$A$69:$A$86,$C45,Estimation!Z$69:Z$86)</f>
        <v>0</v>
      </c>
      <c r="W45" s="149"/>
      <c r="X45" s="44">
        <f>SUMIF(Estimation!$A$69:$A$86,$C45,Estimation!AB$69:AB$86)</f>
        <v>0</v>
      </c>
      <c r="Y45" s="149"/>
      <c r="Z45" s="44">
        <f>SUM(F45:X45)</f>
        <v>0</v>
      </c>
      <c r="AA45" s="149"/>
      <c r="AB45" s="33"/>
    </row>
    <row r="46" spans="2:28" outlineLevel="1" x14ac:dyDescent="0.25">
      <c r="C46" s="152" t="e">
        <f>Hidden_Lookups!#REF!</f>
        <v>#REF!</v>
      </c>
      <c r="E46" s="149"/>
      <c r="F46" s="44">
        <f>SUMIF(Estimation!$A$69:$A$86,$C46,Estimation!J$69:J$86)</f>
        <v>0</v>
      </c>
      <c r="G46" s="149"/>
      <c r="H46" s="44">
        <f>SUMIF(Estimation!$A$69:$A$86,$C46,Estimation!L$69:L$86)</f>
        <v>0</v>
      </c>
      <c r="I46" s="149"/>
      <c r="J46" s="44">
        <f>SUMIF(Estimation!$A$69:$A$86,$C46,Estimation!N$69:N$86)</f>
        <v>0</v>
      </c>
      <c r="K46" s="149"/>
      <c r="L46" s="44">
        <f>SUMIF(Estimation!$A$69:$A$86,$C46,Estimation!P$69:P$86)</f>
        <v>0</v>
      </c>
      <c r="M46" s="149"/>
      <c r="N46" s="44">
        <f>SUMIF(Estimation!$A$69:$A$86,$C46,Estimation!R$69:R$86)</f>
        <v>0</v>
      </c>
      <c r="O46" s="149"/>
      <c r="P46" s="44">
        <f>SUMIF(Estimation!$A$69:$A$86,$C46,Estimation!T$69:T$86)</f>
        <v>0</v>
      </c>
      <c r="Q46" s="149"/>
      <c r="R46" s="44">
        <f>SUMIF(Estimation!$A$69:$A$86,$C46,Estimation!V$69:V$86)</f>
        <v>0</v>
      </c>
      <c r="S46" s="149"/>
      <c r="T46" s="44">
        <f>SUMIF(Estimation!$A$69:$A$86,$C46,Estimation!X$69:X$86)</f>
        <v>0</v>
      </c>
      <c r="U46" s="149"/>
      <c r="V46" s="44">
        <f>SUMIF(Estimation!$A$69:$A$86,$C46,Estimation!Z$69:Z$86)</f>
        <v>0</v>
      </c>
      <c r="W46" s="149"/>
      <c r="X46" s="44">
        <f>SUMIF(Estimation!$A$69:$A$86,$C46,Estimation!AB$69:AB$86)</f>
        <v>0</v>
      </c>
      <c r="Y46" s="149"/>
      <c r="Z46" s="44">
        <f t="shared" ref="Z46:Z52" si="1">SUM(F46:X46)</f>
        <v>0</v>
      </c>
      <c r="AA46" s="149"/>
      <c r="AB46" s="33"/>
    </row>
    <row r="47" spans="2:28" outlineLevel="1" x14ac:dyDescent="0.25">
      <c r="C47" s="152" t="str">
        <f>Hidden_Lookups!$A$9</f>
        <v>Professional Research Assistant</v>
      </c>
      <c r="E47" s="149"/>
      <c r="F47" s="44">
        <f>SUMIF(Estimation!$A$69:$A$86,$C47,Estimation!J$69:J$86)</f>
        <v>0</v>
      </c>
      <c r="G47" s="149"/>
      <c r="H47" s="44">
        <f>SUMIF(Estimation!$A$69:$A$86,$C47,Estimation!L$69:L$86)</f>
        <v>0</v>
      </c>
      <c r="I47" s="149"/>
      <c r="J47" s="44">
        <f>SUMIF(Estimation!$A$69:$A$86,$C47,Estimation!N$69:N$86)</f>
        <v>0</v>
      </c>
      <c r="K47" s="149"/>
      <c r="L47" s="44">
        <f>SUMIF(Estimation!$A$69:$A$86,$C47,Estimation!P$69:P$86)</f>
        <v>0</v>
      </c>
      <c r="M47" s="149"/>
      <c r="N47" s="44">
        <f>SUMIF(Estimation!$A$69:$A$86,$C47,Estimation!R$69:R$86)</f>
        <v>0</v>
      </c>
      <c r="O47" s="149"/>
      <c r="P47" s="44">
        <f>SUMIF(Estimation!$A$69:$A$86,$C47,Estimation!T$69:T$86)</f>
        <v>0</v>
      </c>
      <c r="Q47" s="149"/>
      <c r="R47" s="44">
        <f>SUMIF(Estimation!$A$69:$A$86,$C47,Estimation!V$69:V$86)</f>
        <v>0</v>
      </c>
      <c r="S47" s="149"/>
      <c r="T47" s="44">
        <f>SUMIF(Estimation!$A$69:$A$86,$C47,Estimation!X$69:X$86)</f>
        <v>0</v>
      </c>
      <c r="U47" s="149"/>
      <c r="V47" s="44">
        <f>SUMIF(Estimation!$A$69:$A$86,$C47,Estimation!Z$69:Z$86)</f>
        <v>0</v>
      </c>
      <c r="W47" s="149"/>
      <c r="X47" s="44">
        <f>SUMIF(Estimation!$A$69:$A$86,$C47,Estimation!AB$69:AB$86)</f>
        <v>0</v>
      </c>
      <c r="Y47" s="149"/>
      <c r="Z47" s="44">
        <f t="shared" si="1"/>
        <v>0</v>
      </c>
      <c r="AA47" s="149"/>
      <c r="AB47" s="33"/>
    </row>
    <row r="48" spans="2:28" outlineLevel="1" x14ac:dyDescent="0.25">
      <c r="C48" s="152" t="str">
        <f>Hidden_Lookups!$A$2</f>
        <v>Administrative Assistant</v>
      </c>
      <c r="E48" s="149"/>
      <c r="F48" s="44">
        <f>SUMIF(Estimation!$A$69:$A$86,$C48,Estimation!J$69:J$86)</f>
        <v>0</v>
      </c>
      <c r="G48" s="149"/>
      <c r="H48" s="44">
        <f>SUMIF(Estimation!$A$69:$A$86,$C48,Estimation!L$69:L$86)</f>
        <v>0</v>
      </c>
      <c r="I48" s="149"/>
      <c r="J48" s="44">
        <f>SUMIF(Estimation!$A$69:$A$86,$C48,Estimation!N$69:N$86)</f>
        <v>0</v>
      </c>
      <c r="K48" s="149"/>
      <c r="L48" s="44">
        <f>SUMIF(Estimation!$A$69:$A$86,$C48,Estimation!P$69:P$86)</f>
        <v>0</v>
      </c>
      <c r="M48" s="149"/>
      <c r="N48" s="44">
        <f>SUMIF(Estimation!$A$69:$A$86,$C48,Estimation!R$69:R$86)</f>
        <v>0</v>
      </c>
      <c r="O48" s="149"/>
      <c r="P48" s="44">
        <f>SUMIF(Estimation!$A$69:$A$86,$C48,Estimation!T$69:T$86)</f>
        <v>0</v>
      </c>
      <c r="Q48" s="149"/>
      <c r="R48" s="44">
        <f>SUMIF(Estimation!$A$69:$A$86,$C48,Estimation!V$69:V$86)</f>
        <v>0</v>
      </c>
      <c r="S48" s="149"/>
      <c r="T48" s="44">
        <f>SUMIF(Estimation!$A$69:$A$86,$C48,Estimation!X$69:X$86)</f>
        <v>0</v>
      </c>
      <c r="U48" s="149"/>
      <c r="V48" s="44">
        <f>SUMIF(Estimation!$A$69:$A$86,$C48,Estimation!Z$69:Z$86)</f>
        <v>0</v>
      </c>
      <c r="W48" s="149"/>
      <c r="X48" s="44">
        <f>SUMIF(Estimation!$A$69:$A$86,$C48,Estimation!AB$69:AB$86)</f>
        <v>0</v>
      </c>
      <c r="Y48" s="149"/>
      <c r="Z48" s="44">
        <f t="shared" si="1"/>
        <v>0</v>
      </c>
      <c r="AA48" s="149"/>
      <c r="AB48" s="33"/>
    </row>
    <row r="49" spans="2:28" outlineLevel="1" x14ac:dyDescent="0.25">
      <c r="C49" s="152" t="str">
        <f>Hidden_Lookups!$A$5</f>
        <v>OEP F/T or Classified Perm</v>
      </c>
      <c r="E49" s="149"/>
      <c r="F49" s="44">
        <f>SUMIF(Estimation!$A$69:$A$86,$C49,Estimation!J$69:J$86)</f>
        <v>0</v>
      </c>
      <c r="G49" s="149"/>
      <c r="H49" s="44">
        <f>SUMIF(Estimation!$A$69:$A$86,$C49,Estimation!L$69:L$86)</f>
        <v>0</v>
      </c>
      <c r="I49" s="149"/>
      <c r="J49" s="44">
        <f>SUMIF(Estimation!$A$69:$A$86,$C49,Estimation!N$69:N$86)</f>
        <v>0</v>
      </c>
      <c r="K49" s="149"/>
      <c r="L49" s="44">
        <f>SUMIF(Estimation!$A$69:$A$86,$C49,Estimation!P$69:P$86)</f>
        <v>0</v>
      </c>
      <c r="M49" s="149"/>
      <c r="N49" s="44">
        <f>SUMIF(Estimation!$A$69:$A$86,$C49,Estimation!R$69:R$86)</f>
        <v>0</v>
      </c>
      <c r="O49" s="149"/>
      <c r="P49" s="44">
        <f>SUMIF(Estimation!$A$69:$A$86,$C49,Estimation!T$69:T$86)</f>
        <v>0</v>
      </c>
      <c r="Q49" s="149"/>
      <c r="R49" s="44">
        <f>SUMIF(Estimation!$A$69:$A$86,$C49,Estimation!V$69:V$86)</f>
        <v>0</v>
      </c>
      <c r="S49" s="149"/>
      <c r="T49" s="44">
        <f>SUMIF(Estimation!$A$69:$A$86,$C49,Estimation!X$69:X$86)</f>
        <v>0</v>
      </c>
      <c r="U49" s="149"/>
      <c r="V49" s="44">
        <f>SUMIF(Estimation!$A$69:$A$86,$C49,Estimation!Z$69:Z$86)</f>
        <v>0</v>
      </c>
      <c r="W49" s="149"/>
      <c r="X49" s="44">
        <f>SUMIF(Estimation!$A$69:$A$86,$C49,Estimation!AB$69:AB$86)</f>
        <v>0</v>
      </c>
      <c r="Y49" s="149"/>
      <c r="Z49" s="44">
        <f t="shared" si="1"/>
        <v>0</v>
      </c>
      <c r="AA49" s="149"/>
      <c r="AB49" s="33"/>
    </row>
    <row r="50" spans="2:28" outlineLevel="1" x14ac:dyDescent="0.25">
      <c r="C50" s="152" t="str">
        <f>Hidden_Lookups!$A$6</f>
        <v>OEP P/T or Classified Temp</v>
      </c>
      <c r="E50" s="149"/>
      <c r="F50" s="44">
        <f>SUMIF(Estimation!$A$69:$A$86,$C50,Estimation!J$69:J$86)</f>
        <v>0</v>
      </c>
      <c r="G50" s="149"/>
      <c r="H50" s="44">
        <f>SUMIF(Estimation!$A$69:$A$86,$C50,Estimation!L$69:L$86)</f>
        <v>0</v>
      </c>
      <c r="I50" s="149"/>
      <c r="J50" s="44">
        <f>SUMIF(Estimation!$A$69:$A$86,$C50,Estimation!N$69:N$86)</f>
        <v>0</v>
      </c>
      <c r="K50" s="149"/>
      <c r="L50" s="44">
        <f>SUMIF(Estimation!$A$69:$A$86,$C50,Estimation!P$69:P$86)</f>
        <v>0</v>
      </c>
      <c r="M50" s="149"/>
      <c r="N50" s="44">
        <f>SUMIF(Estimation!$A$69:$A$86,$C50,Estimation!R$69:R$86)</f>
        <v>0</v>
      </c>
      <c r="O50" s="149"/>
      <c r="P50" s="44">
        <f>SUMIF(Estimation!$A$69:$A$86,$C50,Estimation!T$69:T$86)</f>
        <v>0</v>
      </c>
      <c r="Q50" s="149"/>
      <c r="R50" s="44">
        <f>SUMIF(Estimation!$A$69:$A$86,$C50,Estimation!V$69:V$86)</f>
        <v>0</v>
      </c>
      <c r="S50" s="149"/>
      <c r="T50" s="44">
        <f>SUMIF(Estimation!$A$69:$A$86,$C50,Estimation!X$69:X$86)</f>
        <v>0</v>
      </c>
      <c r="U50" s="149"/>
      <c r="V50" s="44">
        <f>SUMIF(Estimation!$A$69:$A$86,$C50,Estimation!Z$69:Z$86)</f>
        <v>0</v>
      </c>
      <c r="W50" s="149"/>
      <c r="X50" s="44">
        <f>SUMIF(Estimation!$A$69:$A$86,$C50,Estimation!AB$69:AB$86)</f>
        <v>0</v>
      </c>
      <c r="Y50" s="149"/>
      <c r="Z50" s="44">
        <f t="shared" si="1"/>
        <v>0</v>
      </c>
      <c r="AA50" s="149"/>
      <c r="AB50" s="33"/>
    </row>
    <row r="51" spans="2:28" outlineLevel="1" x14ac:dyDescent="0.25">
      <c r="C51" s="152" t="str">
        <f>Hidden_Lookups!$A$3</f>
        <v>Graduate Research Assistant</v>
      </c>
      <c r="E51" s="149"/>
      <c r="F51" s="44">
        <f>SUMIF(Estimation!$A$69:$A$86,$C51,Estimation!J$69:J$86)</f>
        <v>0</v>
      </c>
      <c r="G51" s="149"/>
      <c r="H51" s="44">
        <f>SUMIF(Estimation!$A$69:$A$86,$C51,Estimation!L$69:L$86)</f>
        <v>0</v>
      </c>
      <c r="I51" s="149"/>
      <c r="J51" s="44">
        <f>SUMIF(Estimation!$A$69:$A$86,$C51,Estimation!N$69:N$86)</f>
        <v>0</v>
      </c>
      <c r="K51" s="149"/>
      <c r="L51" s="44">
        <f>SUMIF(Estimation!$A$69:$A$86,$C51,Estimation!P$69:P$86)</f>
        <v>0</v>
      </c>
      <c r="M51" s="149"/>
      <c r="N51" s="44">
        <f>SUMIF(Estimation!$A$69:$A$86,$C51,Estimation!R$69:R$86)</f>
        <v>0</v>
      </c>
      <c r="O51" s="149"/>
      <c r="P51" s="44">
        <f>SUMIF(Estimation!$A$69:$A$86,$C51,Estimation!T$69:T$86)</f>
        <v>0</v>
      </c>
      <c r="Q51" s="149"/>
      <c r="R51" s="44">
        <f>SUMIF(Estimation!$A$69:$A$86,$C51,Estimation!V$69:V$86)</f>
        <v>0</v>
      </c>
      <c r="S51" s="149"/>
      <c r="T51" s="44">
        <f>SUMIF(Estimation!$A$69:$A$86,$C51,Estimation!X$69:X$86)</f>
        <v>0</v>
      </c>
      <c r="U51" s="149"/>
      <c r="V51" s="44">
        <f>SUMIF(Estimation!$A$69:$A$86,$C51,Estimation!Z$69:Z$86)</f>
        <v>0</v>
      </c>
      <c r="W51" s="149"/>
      <c r="X51" s="44">
        <f>SUMIF(Estimation!$A$69:$A$86,$C51,Estimation!AB$69:AB$86)</f>
        <v>0</v>
      </c>
      <c r="Y51" s="149"/>
      <c r="Z51" s="44">
        <f t="shared" si="1"/>
        <v>0</v>
      </c>
      <c r="AA51" s="149"/>
      <c r="AB51" s="33"/>
    </row>
    <row r="52" spans="2:28" outlineLevel="1" x14ac:dyDescent="0.25">
      <c r="C52" s="152" t="str">
        <f>Hidden_Lookups!$A$4</f>
        <v>Hourly</v>
      </c>
      <c r="E52" s="149"/>
      <c r="F52" s="44">
        <f>SUMIF(Estimation!$A$69:$A$86,$C52,Estimation!J$69:J$86)</f>
        <v>0</v>
      </c>
      <c r="G52" s="149"/>
      <c r="H52" s="44">
        <f>SUMIF(Estimation!$A$69:$A$86,$C52,Estimation!L$69:L$86)</f>
        <v>0</v>
      </c>
      <c r="I52" s="149"/>
      <c r="J52" s="44">
        <f>SUMIF(Estimation!$A$69:$A$86,$C52,Estimation!N$69:N$86)</f>
        <v>0</v>
      </c>
      <c r="K52" s="149"/>
      <c r="L52" s="44">
        <f>SUMIF(Estimation!$A$69:$A$86,$C52,Estimation!P$69:P$86)</f>
        <v>0</v>
      </c>
      <c r="M52" s="149"/>
      <c r="N52" s="44">
        <f>SUMIF(Estimation!$A$69:$A$86,$C52,Estimation!R$69:R$86)</f>
        <v>0</v>
      </c>
      <c r="O52" s="149"/>
      <c r="P52" s="44">
        <f>SUMIF(Estimation!$A$69:$A$86,$C52,Estimation!T$69:T$86)</f>
        <v>0</v>
      </c>
      <c r="Q52" s="149"/>
      <c r="R52" s="44">
        <f>SUMIF(Estimation!$A$69:$A$86,$C52,Estimation!V$69:V$86)</f>
        <v>0</v>
      </c>
      <c r="S52" s="149"/>
      <c r="T52" s="44">
        <f>SUMIF(Estimation!$A$69:$A$86,$C52,Estimation!X$69:X$86)</f>
        <v>0</v>
      </c>
      <c r="U52" s="149"/>
      <c r="V52" s="44">
        <f>SUMIF(Estimation!$A$69:$A$86,$C52,Estimation!Z$69:Z$86)</f>
        <v>0</v>
      </c>
      <c r="W52" s="149"/>
      <c r="X52" s="44">
        <f>SUMIF(Estimation!$A$69:$A$86,$C52,Estimation!AB$69:AB$86)</f>
        <v>0</v>
      </c>
      <c r="Y52" s="149"/>
      <c r="Z52" s="44">
        <f t="shared" si="1"/>
        <v>0</v>
      </c>
      <c r="AA52" s="149"/>
      <c r="AB52" s="33"/>
    </row>
    <row r="53" spans="2:28" ht="7.5" customHeight="1" x14ac:dyDescent="0.25">
      <c r="C53" s="45"/>
      <c r="E53" s="150"/>
      <c r="F53" s="75"/>
      <c r="G53" s="150"/>
      <c r="H53" s="75"/>
      <c r="I53" s="150"/>
      <c r="J53" s="75"/>
      <c r="K53" s="150"/>
      <c r="L53" s="75"/>
      <c r="M53" s="150"/>
      <c r="N53" s="75"/>
      <c r="O53" s="150"/>
      <c r="P53" s="75"/>
      <c r="Q53" s="150"/>
      <c r="R53" s="75"/>
      <c r="S53" s="150"/>
      <c r="T53" s="75"/>
      <c r="U53" s="150"/>
      <c r="V53" s="75"/>
      <c r="W53" s="150"/>
      <c r="X53" s="75"/>
      <c r="Y53" s="150"/>
      <c r="Z53" s="75"/>
      <c r="AA53" s="150"/>
      <c r="AB53" s="33"/>
    </row>
    <row r="54" spans="2:28" x14ac:dyDescent="0.25">
      <c r="B54" s="45"/>
      <c r="C54" s="45"/>
      <c r="D54" s="162" t="s">
        <v>7</v>
      </c>
      <c r="E54" s="149"/>
      <c r="F54" s="44">
        <f>SUM(F42:F52)</f>
        <v>0</v>
      </c>
      <c r="G54" s="149"/>
      <c r="H54" s="44">
        <f>SUM(H42:H52)</f>
        <v>0</v>
      </c>
      <c r="I54" s="149"/>
      <c r="J54" s="44">
        <f>SUM(J42:J52)</f>
        <v>0</v>
      </c>
      <c r="K54" s="149"/>
      <c r="L54" s="44">
        <f>SUM(L42:L52)</f>
        <v>0</v>
      </c>
      <c r="M54" s="149"/>
      <c r="N54" s="44">
        <f>SUM(N42:N52)</f>
        <v>0</v>
      </c>
      <c r="O54" s="149"/>
      <c r="P54" s="44">
        <f>SUM(P42:P52)</f>
        <v>0</v>
      </c>
      <c r="Q54" s="149"/>
      <c r="R54" s="44">
        <f>SUM(R42:R52)</f>
        <v>0</v>
      </c>
      <c r="S54" s="149"/>
      <c r="T54" s="44">
        <f>SUM(T42:T52)</f>
        <v>0</v>
      </c>
      <c r="U54" s="149"/>
      <c r="V54" s="44">
        <f>SUM(V42:V52)</f>
        <v>0</v>
      </c>
      <c r="W54" s="149"/>
      <c r="X54" s="44">
        <f>SUM(X42:X52)</f>
        <v>0</v>
      </c>
      <c r="Y54" s="149"/>
      <c r="Z54" s="44">
        <f>SUM(F54:X54)</f>
        <v>0</v>
      </c>
      <c r="AA54" s="149"/>
      <c r="AB54" s="33"/>
    </row>
    <row r="55" spans="2:28" x14ac:dyDescent="0.25">
      <c r="B55" s="45"/>
      <c r="C55" s="45"/>
      <c r="D55" s="148"/>
      <c r="E55" s="149"/>
      <c r="F55" s="44"/>
      <c r="G55" s="149"/>
      <c r="H55" s="44"/>
      <c r="I55" s="149"/>
      <c r="J55" s="44"/>
      <c r="K55" s="149"/>
      <c r="L55" s="44"/>
      <c r="M55" s="149"/>
      <c r="N55" s="44"/>
      <c r="O55" s="149"/>
      <c r="P55" s="44"/>
      <c r="Q55" s="149"/>
      <c r="R55" s="44"/>
      <c r="S55" s="149"/>
      <c r="T55" s="44"/>
      <c r="U55" s="149"/>
      <c r="V55" s="44"/>
      <c r="W55" s="149"/>
      <c r="X55" s="44"/>
      <c r="Y55" s="149"/>
      <c r="Z55" s="44"/>
      <c r="AA55" s="149"/>
      <c r="AB55" s="33"/>
    </row>
    <row r="56" spans="2:28" x14ac:dyDescent="0.25">
      <c r="B56" s="46" t="s">
        <v>227</v>
      </c>
      <c r="C56" s="46"/>
      <c r="D56" s="45"/>
      <c r="E56" s="149"/>
      <c r="F56" s="44"/>
      <c r="G56" s="149"/>
      <c r="H56" s="44"/>
      <c r="I56" s="149"/>
      <c r="J56" s="44"/>
      <c r="K56" s="149"/>
      <c r="L56" s="44"/>
      <c r="M56" s="149"/>
      <c r="N56" s="44"/>
      <c r="O56" s="149"/>
      <c r="P56" s="44"/>
      <c r="Q56" s="149"/>
      <c r="R56" s="44"/>
      <c r="S56" s="149"/>
      <c r="T56" s="44"/>
      <c r="U56" s="149"/>
      <c r="V56" s="44"/>
      <c r="W56" s="149"/>
      <c r="X56" s="44"/>
      <c r="Y56" s="149"/>
      <c r="Z56" s="44"/>
      <c r="AA56" s="149"/>
      <c r="AB56" s="33"/>
    </row>
    <row r="57" spans="2:28" x14ac:dyDescent="0.25">
      <c r="C57" s="45" t="str">
        <f>Estimation!A93</f>
        <v>Capital Equipment</v>
      </c>
      <c r="E57" s="149"/>
      <c r="F57" s="44">
        <f>SUMIF(Estimation!$A$20:$A$195,$C57,Estimation!J$20:J$198)</f>
        <v>0</v>
      </c>
      <c r="G57" s="149"/>
      <c r="H57" s="44">
        <f>SUMIF(Estimation!$A$20:$A$195,$C57,Estimation!L$20:L$198)</f>
        <v>0</v>
      </c>
      <c r="I57" s="149"/>
      <c r="J57" s="44">
        <f>SUMIF(Estimation!$A$20:$A$195,$C57,Estimation!N$20:N$198)</f>
        <v>0</v>
      </c>
      <c r="K57" s="149"/>
      <c r="L57" s="44">
        <f>SUMIF(Estimation!$A$20:$A$195,$C57,Estimation!P$20:P$198)</f>
        <v>0</v>
      </c>
      <c r="M57" s="149"/>
      <c r="N57" s="44">
        <f>SUMIF(Estimation!$A$20:$A$195,$C57,Estimation!R$20:R$198)</f>
        <v>0</v>
      </c>
      <c r="O57" s="149"/>
      <c r="P57" s="44">
        <f>SUMIF(Estimation!$A$20:$A$195,$C57,Estimation!T$20:T$198)</f>
        <v>0</v>
      </c>
      <c r="Q57" s="149"/>
      <c r="R57" s="44">
        <f>SUMIF(Estimation!$A$20:$A$195,$C57,Estimation!V$20:V$198)</f>
        <v>0</v>
      </c>
      <c r="S57" s="149"/>
      <c r="T57" s="44">
        <f>SUMIF(Estimation!$A$20:$A$195,$C57,Estimation!X$20:X$198)</f>
        <v>0</v>
      </c>
      <c r="U57" s="149"/>
      <c r="V57" s="44">
        <f>SUMIF(Estimation!$A$20:$A$195,$C57,Estimation!Z$20:Z$198)</f>
        <v>0</v>
      </c>
      <c r="W57" s="149"/>
      <c r="X57" s="44">
        <f>SUMIF(Estimation!$A$20:$A$195,$C57,Estimation!AB$20:AB$198)</f>
        <v>0</v>
      </c>
      <c r="Y57" s="149"/>
      <c r="Z57" s="44">
        <f>SUM(F57:X57)</f>
        <v>0</v>
      </c>
      <c r="AA57" s="149"/>
      <c r="AB57" s="33"/>
    </row>
    <row r="58" spans="2:28" ht="8.25" customHeight="1" x14ac:dyDescent="0.25">
      <c r="C58" s="45"/>
      <c r="E58" s="150"/>
      <c r="F58" s="75"/>
      <c r="G58" s="150"/>
      <c r="H58" s="75"/>
      <c r="I58" s="150"/>
      <c r="J58" s="75"/>
      <c r="K58" s="150"/>
      <c r="L58" s="75"/>
      <c r="M58" s="150"/>
      <c r="N58" s="75"/>
      <c r="O58" s="150"/>
      <c r="P58" s="75"/>
      <c r="Q58" s="150"/>
      <c r="R58" s="75"/>
      <c r="S58" s="150"/>
      <c r="T58" s="75"/>
      <c r="U58" s="150"/>
      <c r="V58" s="75"/>
      <c r="W58" s="150"/>
      <c r="X58" s="75"/>
      <c r="Y58" s="150"/>
      <c r="Z58" s="75"/>
      <c r="AA58" s="150"/>
      <c r="AB58" s="33"/>
    </row>
    <row r="59" spans="2:28" x14ac:dyDescent="0.25">
      <c r="B59" s="45"/>
      <c r="C59" s="45"/>
      <c r="D59" s="162" t="s">
        <v>222</v>
      </c>
      <c r="E59" s="149"/>
      <c r="F59" s="44">
        <f>F57</f>
        <v>0</v>
      </c>
      <c r="G59" s="149"/>
      <c r="H59" s="44">
        <f>H57</f>
        <v>0</v>
      </c>
      <c r="I59" s="149"/>
      <c r="J59" s="44">
        <f>J57</f>
        <v>0</v>
      </c>
      <c r="K59" s="149"/>
      <c r="L59" s="44">
        <f>L57</f>
        <v>0</v>
      </c>
      <c r="M59" s="149"/>
      <c r="N59" s="44">
        <f>N57</f>
        <v>0</v>
      </c>
      <c r="O59" s="149"/>
      <c r="P59" s="44">
        <f>P57</f>
        <v>0</v>
      </c>
      <c r="Q59" s="149"/>
      <c r="R59" s="44">
        <f>R57</f>
        <v>0</v>
      </c>
      <c r="S59" s="149"/>
      <c r="T59" s="44">
        <f>T57</f>
        <v>0</v>
      </c>
      <c r="U59" s="149"/>
      <c r="V59" s="44">
        <f>V57</f>
        <v>0</v>
      </c>
      <c r="W59" s="149"/>
      <c r="X59" s="44">
        <f>X57</f>
        <v>0</v>
      </c>
      <c r="Y59" s="149"/>
      <c r="Z59" s="44">
        <f>SUM(F59:X59)</f>
        <v>0</v>
      </c>
      <c r="AA59" s="149"/>
      <c r="AB59" s="33"/>
    </row>
    <row r="60" spans="2:28" x14ac:dyDescent="0.25">
      <c r="B60" s="46"/>
      <c r="C60" s="46"/>
      <c r="D60" s="46"/>
      <c r="E60" s="149"/>
      <c r="F60" s="44"/>
      <c r="G60" s="149"/>
      <c r="H60" s="44"/>
      <c r="I60" s="149"/>
      <c r="J60" s="44"/>
      <c r="K60" s="149"/>
      <c r="L60" s="44"/>
      <c r="M60" s="149"/>
      <c r="N60" s="44"/>
      <c r="O60" s="149"/>
      <c r="P60" s="44"/>
      <c r="Q60" s="149"/>
      <c r="R60" s="44"/>
      <c r="S60" s="149"/>
      <c r="T60" s="44"/>
      <c r="U60" s="149"/>
      <c r="V60" s="44"/>
      <c r="W60" s="149"/>
      <c r="X60" s="44"/>
      <c r="Y60" s="149"/>
      <c r="Z60" s="44"/>
      <c r="AA60" s="149"/>
      <c r="AB60" s="33"/>
    </row>
    <row r="61" spans="2:28" x14ac:dyDescent="0.25">
      <c r="B61" s="46" t="s">
        <v>228</v>
      </c>
      <c r="C61" s="46"/>
      <c r="D61" s="46"/>
      <c r="E61" s="149"/>
      <c r="F61" s="44"/>
      <c r="G61" s="149"/>
      <c r="H61" s="44"/>
      <c r="I61" s="149"/>
      <c r="J61" s="44"/>
      <c r="K61" s="149"/>
      <c r="L61" s="44"/>
      <c r="M61" s="149"/>
      <c r="N61" s="44"/>
      <c r="O61" s="149"/>
      <c r="P61" s="44"/>
      <c r="Q61" s="149"/>
      <c r="R61" s="44"/>
      <c r="S61" s="149"/>
      <c r="T61" s="44"/>
      <c r="U61" s="149"/>
      <c r="V61" s="44"/>
      <c r="W61" s="149"/>
      <c r="X61" s="44"/>
      <c r="Y61" s="149"/>
      <c r="Z61" s="44"/>
      <c r="AA61" s="149"/>
      <c r="AB61" s="33"/>
    </row>
    <row r="62" spans="2:28" x14ac:dyDescent="0.25">
      <c r="C62" s="45" t="str">
        <f>Hidden_Lookups!A20</f>
        <v>Domestic Travel</v>
      </c>
      <c r="E62" s="149"/>
      <c r="F62" s="44">
        <f>SUMIF(Estimation!$A$101:$A$149,$C62,Estimation!J$101:J$149)</f>
        <v>0</v>
      </c>
      <c r="G62" s="149"/>
      <c r="H62" s="44">
        <f>SUMIF(Estimation!$A$101:$A$149,$C62,Estimation!L$101:L$149)</f>
        <v>0</v>
      </c>
      <c r="I62" s="149"/>
      <c r="J62" s="44">
        <f>SUMIF(Estimation!$A$101:$A$149,$C62,Estimation!N$101:N$149)</f>
        <v>0</v>
      </c>
      <c r="K62" s="149"/>
      <c r="L62" s="44">
        <f>SUMIF(Estimation!$A$101:$A$149,$C62,Estimation!P$101:P$149)</f>
        <v>0</v>
      </c>
      <c r="M62" s="149"/>
      <c r="N62" s="44">
        <f>SUMIF(Estimation!$A$101:$A$149,$C62,Estimation!R$101:R$149)</f>
        <v>0</v>
      </c>
      <c r="O62" s="149"/>
      <c r="P62" s="44">
        <f>SUMIF(Estimation!$A$101:$A$149,$C62,Estimation!T$101:T$149)</f>
        <v>0</v>
      </c>
      <c r="Q62" s="149"/>
      <c r="R62" s="44">
        <f>SUMIF(Estimation!$A$101:$A$149,$C62,Estimation!V$101:V$149)</f>
        <v>0</v>
      </c>
      <c r="S62" s="149"/>
      <c r="T62" s="44">
        <f>SUMIF(Estimation!$A$101:$A$149,$C62,Estimation!X$101:X$149)</f>
        <v>0</v>
      </c>
      <c r="U62" s="149"/>
      <c r="V62" s="44">
        <f>SUMIF(Estimation!$A$101:$A$149,$C62,Estimation!Z$101:Z$149)</f>
        <v>0</v>
      </c>
      <c r="W62" s="149"/>
      <c r="X62" s="44">
        <f>SUMIF(Estimation!$A$101:$A$149,$C62,Estimation!AB$101:AB$149)</f>
        <v>0</v>
      </c>
      <c r="Y62" s="149"/>
      <c r="Z62" s="44">
        <f>SUM(F62:X62)</f>
        <v>0</v>
      </c>
      <c r="AA62" s="149"/>
      <c r="AB62" s="33"/>
    </row>
    <row r="63" spans="2:28" x14ac:dyDescent="0.25">
      <c r="C63" s="45" t="str">
        <f>Hidden_Lookups!A21</f>
        <v>International Travel</v>
      </c>
      <c r="E63" s="149"/>
      <c r="F63" s="44">
        <f>SUMIF(Estimation!$A$101:$A$149,$C63,Estimation!J$101:J$149)</f>
        <v>0</v>
      </c>
      <c r="G63" s="149"/>
      <c r="H63" s="44">
        <f>SUMIF(Estimation!$A$101:$A$149,$C63,Estimation!L$101:L$149)</f>
        <v>0</v>
      </c>
      <c r="I63" s="149"/>
      <c r="J63" s="44">
        <f>SUMIF(Estimation!$A$101:$A$149,$C63,Estimation!N$101:N$149)</f>
        <v>0</v>
      </c>
      <c r="K63" s="149"/>
      <c r="L63" s="44">
        <f>SUMIF(Estimation!$A$101:$A$149,$C63,Estimation!P$101:P$149)</f>
        <v>0</v>
      </c>
      <c r="M63" s="149"/>
      <c r="N63" s="44">
        <f>SUMIF(Estimation!$A$101:$A$149,$C63,Estimation!R$101:R$149)</f>
        <v>0</v>
      </c>
      <c r="O63" s="149"/>
      <c r="P63" s="44">
        <f>SUMIF(Estimation!$A$101:$A$149,$C63,Estimation!T$101:T$149)</f>
        <v>0</v>
      </c>
      <c r="Q63" s="149"/>
      <c r="R63" s="44">
        <f>SUMIF(Estimation!$A$101:$A$149,$C63,Estimation!V$101:V$149)</f>
        <v>0</v>
      </c>
      <c r="S63" s="149"/>
      <c r="T63" s="44">
        <f>SUMIF(Estimation!$A$101:$A$149,$C63,Estimation!X$101:X$149)</f>
        <v>0</v>
      </c>
      <c r="U63" s="149"/>
      <c r="V63" s="44">
        <f>SUMIF(Estimation!$A$101:$A$149,$C63,Estimation!Z$101:Z$149)</f>
        <v>0</v>
      </c>
      <c r="W63" s="149"/>
      <c r="X63" s="44">
        <f>SUMIF(Estimation!$A$101:$A$149,$C63,Estimation!AB$101:AB$149)</f>
        <v>0</v>
      </c>
      <c r="Y63" s="149"/>
      <c r="Z63" s="44">
        <f>SUM(F63:X63)</f>
        <v>0</v>
      </c>
      <c r="AA63" s="149"/>
      <c r="AB63" s="33"/>
    </row>
    <row r="64" spans="2:28" ht="8.25" customHeight="1" x14ac:dyDescent="0.25">
      <c r="C64" s="45"/>
      <c r="E64" s="150"/>
      <c r="F64" s="75"/>
      <c r="G64" s="150"/>
      <c r="H64" s="75"/>
      <c r="I64" s="150"/>
      <c r="J64" s="75"/>
      <c r="K64" s="150"/>
      <c r="L64" s="75"/>
      <c r="M64" s="150"/>
      <c r="N64" s="75"/>
      <c r="O64" s="150"/>
      <c r="P64" s="75"/>
      <c r="Q64" s="150"/>
      <c r="R64" s="75"/>
      <c r="S64" s="150"/>
      <c r="T64" s="75"/>
      <c r="U64" s="150"/>
      <c r="V64" s="75"/>
      <c r="W64" s="150"/>
      <c r="X64" s="75"/>
      <c r="Y64" s="150"/>
      <c r="Z64" s="75"/>
      <c r="AA64" s="150"/>
      <c r="AB64" s="33"/>
    </row>
    <row r="65" spans="2:50" x14ac:dyDescent="0.25">
      <c r="B65" s="45"/>
      <c r="C65" s="45"/>
      <c r="D65" s="162" t="s">
        <v>21</v>
      </c>
      <c r="E65" s="149"/>
      <c r="F65" s="44">
        <f>SUM(F62:F63)</f>
        <v>0</v>
      </c>
      <c r="G65" s="149"/>
      <c r="H65" s="44">
        <f>SUM(H62:H63)</f>
        <v>0</v>
      </c>
      <c r="I65" s="149"/>
      <c r="J65" s="44">
        <f>SUM(J62:J63)</f>
        <v>0</v>
      </c>
      <c r="K65" s="149"/>
      <c r="L65" s="44">
        <f>SUM(L62:L63)</f>
        <v>0</v>
      </c>
      <c r="M65" s="149"/>
      <c r="N65" s="44">
        <f>SUM(N62:N63)</f>
        <v>0</v>
      </c>
      <c r="O65" s="149"/>
      <c r="P65" s="44">
        <f>SUM(P62:P63)</f>
        <v>0</v>
      </c>
      <c r="Q65" s="149"/>
      <c r="R65" s="44">
        <f>SUM(R62:R63)</f>
        <v>0</v>
      </c>
      <c r="S65" s="149"/>
      <c r="T65" s="44">
        <f>SUM(T62:T63)</f>
        <v>0</v>
      </c>
      <c r="U65" s="149"/>
      <c r="V65" s="44">
        <f>SUM(V62:V63)</f>
        <v>0</v>
      </c>
      <c r="W65" s="149"/>
      <c r="X65" s="44">
        <f>SUM(X62:X63)</f>
        <v>0</v>
      </c>
      <c r="Y65" s="149"/>
      <c r="Z65" s="44">
        <f>SUM(F65:X65)</f>
        <v>0</v>
      </c>
      <c r="AA65" s="149"/>
      <c r="AB65" s="33"/>
    </row>
    <row r="66" spans="2:50" x14ac:dyDescent="0.25">
      <c r="B66" s="45"/>
      <c r="C66" s="45"/>
      <c r="D66" s="45"/>
      <c r="E66" s="149"/>
      <c r="F66" s="44"/>
      <c r="G66" s="149"/>
      <c r="H66" s="44"/>
      <c r="I66" s="149"/>
      <c r="J66" s="44"/>
      <c r="K66" s="149"/>
      <c r="L66" s="44"/>
      <c r="M66" s="149"/>
      <c r="N66" s="44"/>
      <c r="O66" s="149"/>
      <c r="P66" s="44"/>
      <c r="Q66" s="149"/>
      <c r="R66" s="44"/>
      <c r="S66" s="149"/>
      <c r="T66" s="44"/>
      <c r="U66" s="149"/>
      <c r="V66" s="44"/>
      <c r="W66" s="149"/>
      <c r="X66" s="44"/>
      <c r="Y66" s="149"/>
      <c r="Z66" s="44"/>
      <c r="AA66" s="149"/>
      <c r="AB66" s="33"/>
    </row>
    <row r="67" spans="2:50" x14ac:dyDescent="0.25">
      <c r="B67" s="46" t="s">
        <v>231</v>
      </c>
      <c r="C67" s="46"/>
      <c r="D67" s="46"/>
      <c r="E67" s="149"/>
      <c r="F67" s="44"/>
      <c r="G67" s="149"/>
      <c r="H67" s="44"/>
      <c r="I67" s="149"/>
      <c r="J67" s="44"/>
      <c r="K67" s="149"/>
      <c r="L67" s="44"/>
      <c r="M67" s="149"/>
      <c r="N67" s="44"/>
      <c r="O67" s="149"/>
      <c r="P67" s="44"/>
      <c r="Q67" s="149"/>
      <c r="R67" s="44"/>
      <c r="S67" s="149"/>
      <c r="T67" s="44"/>
      <c r="U67" s="149"/>
      <c r="V67" s="44"/>
      <c r="W67" s="149"/>
      <c r="X67" s="44"/>
      <c r="Y67" s="149"/>
      <c r="Z67" s="44"/>
      <c r="AA67" s="149"/>
      <c r="AB67" s="33"/>
    </row>
    <row r="68" spans="2:50" x14ac:dyDescent="0.25">
      <c r="C68" s="45" t="s">
        <v>30</v>
      </c>
      <c r="E68" s="149"/>
      <c r="F68" s="44">
        <f>SUMIF(Estimation!$A$20:$A$195,$C68,Estimation!J$20:J$198)</f>
        <v>0</v>
      </c>
      <c r="G68" s="149"/>
      <c r="H68" s="44">
        <f>SUMIF(Estimation!$A$20:$A$195,$C68,Estimation!L$20:L$198)</f>
        <v>0</v>
      </c>
      <c r="I68" s="149"/>
      <c r="J68" s="44">
        <f>SUMIF(Estimation!$A$20:$A$195,$C68,Estimation!N$20:N$198)</f>
        <v>0</v>
      </c>
      <c r="K68" s="149"/>
      <c r="L68" s="44">
        <f>SUMIF(Estimation!$A$20:$A$195,$C68,Estimation!P$20:P$198)</f>
        <v>0</v>
      </c>
      <c r="M68" s="149"/>
      <c r="N68" s="44">
        <f>SUMIF(Estimation!$A$20:$A$195,$C68,Estimation!R$20:R$198)</f>
        <v>0</v>
      </c>
      <c r="O68" s="149"/>
      <c r="P68" s="44">
        <f>SUMIF(Estimation!$A$20:$A$195,$C68,Estimation!T$20:T$198)</f>
        <v>0</v>
      </c>
      <c r="Q68" s="149"/>
      <c r="R68" s="44">
        <f>SUMIF(Estimation!$A$20:$A$195,$C68,Estimation!V$20:V$198)</f>
        <v>0</v>
      </c>
      <c r="S68" s="149"/>
      <c r="T68" s="44">
        <f>SUMIF(Estimation!$A$20:$A$195,$C68,Estimation!X$20:X$198)</f>
        <v>0</v>
      </c>
      <c r="U68" s="149"/>
      <c r="V68" s="44">
        <f>SUMIF(Estimation!$A$20:$A$195,$C68,Estimation!Z$20:Z$198)</f>
        <v>0</v>
      </c>
      <c r="W68" s="149"/>
      <c r="X68" s="44">
        <f>SUMIF(Estimation!$A$20:$A$195,$C68,Estimation!AB$20:AB$198)</f>
        <v>0</v>
      </c>
      <c r="Y68" s="149"/>
      <c r="Z68" s="44">
        <f>SUM(F68:X68)</f>
        <v>0</v>
      </c>
      <c r="AA68" s="149"/>
      <c r="AB68" s="33"/>
    </row>
    <row r="69" spans="2:50" ht="8.25" customHeight="1" x14ac:dyDescent="0.25">
      <c r="C69" s="45"/>
      <c r="E69" s="150"/>
      <c r="F69" s="75"/>
      <c r="G69" s="150"/>
      <c r="H69" s="75"/>
      <c r="I69" s="150"/>
      <c r="J69" s="75"/>
      <c r="K69" s="150"/>
      <c r="L69" s="75"/>
      <c r="M69" s="150"/>
      <c r="N69" s="75"/>
      <c r="O69" s="150"/>
      <c r="P69" s="75"/>
      <c r="Q69" s="150"/>
      <c r="R69" s="75"/>
      <c r="S69" s="150"/>
      <c r="T69" s="75"/>
      <c r="U69" s="150"/>
      <c r="V69" s="75"/>
      <c r="W69" s="150"/>
      <c r="X69" s="75"/>
      <c r="Y69" s="150"/>
      <c r="Z69" s="75"/>
      <c r="AA69" s="150"/>
      <c r="AB69" s="33"/>
    </row>
    <row r="70" spans="2:50" x14ac:dyDescent="0.25">
      <c r="B70" s="45"/>
      <c r="C70" s="45"/>
      <c r="D70" s="162" t="s">
        <v>44</v>
      </c>
      <c r="E70" s="149"/>
      <c r="F70" s="44">
        <f>SUM(F68:F68)</f>
        <v>0</v>
      </c>
      <c r="G70" s="149"/>
      <c r="H70" s="44">
        <f>SUM(H68:H68)</f>
        <v>0</v>
      </c>
      <c r="I70" s="149"/>
      <c r="J70" s="44">
        <f>SUM(J68:J68)</f>
        <v>0</v>
      </c>
      <c r="K70" s="149"/>
      <c r="L70" s="44">
        <f>SUM(L68:L68)</f>
        <v>0</v>
      </c>
      <c r="M70" s="149"/>
      <c r="N70" s="44">
        <f>SUM(N68:N68)</f>
        <v>0</v>
      </c>
      <c r="O70" s="149"/>
      <c r="P70" s="44">
        <f>SUM(P68:P68)</f>
        <v>0</v>
      </c>
      <c r="Q70" s="149"/>
      <c r="R70" s="44">
        <f>SUM(R68:R68)</f>
        <v>0</v>
      </c>
      <c r="S70" s="149"/>
      <c r="T70" s="44">
        <f>SUM(T68:T68)</f>
        <v>0</v>
      </c>
      <c r="U70" s="149"/>
      <c r="V70" s="44">
        <f>SUM(V68:V68)</f>
        <v>0</v>
      </c>
      <c r="W70" s="149"/>
      <c r="X70" s="44">
        <f>SUM(X68:X68)</f>
        <v>0</v>
      </c>
      <c r="Y70" s="149"/>
      <c r="Z70" s="44">
        <f>SUM(F70:X70)</f>
        <v>0</v>
      </c>
      <c r="AA70" s="149"/>
      <c r="AB70" s="33"/>
    </row>
    <row r="71" spans="2:50" x14ac:dyDescent="0.25">
      <c r="B71" s="45"/>
      <c r="C71" s="45"/>
      <c r="D71" s="45"/>
      <c r="E71" s="149"/>
      <c r="F71" s="44"/>
      <c r="G71" s="149"/>
      <c r="H71" s="44"/>
      <c r="I71" s="149"/>
      <c r="J71" s="44"/>
      <c r="K71" s="149"/>
      <c r="L71" s="44"/>
      <c r="M71" s="149"/>
      <c r="N71" s="44"/>
      <c r="O71" s="149"/>
      <c r="P71" s="44"/>
      <c r="Q71" s="149"/>
      <c r="R71" s="44"/>
      <c r="S71" s="149"/>
      <c r="T71" s="44"/>
      <c r="U71" s="149"/>
      <c r="V71" s="44"/>
      <c r="W71" s="149"/>
      <c r="X71" s="44"/>
      <c r="Y71" s="149"/>
      <c r="Z71" s="44"/>
      <c r="AA71" s="149"/>
      <c r="AB71" s="33"/>
    </row>
    <row r="72" spans="2:50" x14ac:dyDescent="0.25">
      <c r="B72" s="46" t="s">
        <v>232</v>
      </c>
      <c r="C72" s="46"/>
      <c r="D72" s="46"/>
      <c r="E72" s="149"/>
      <c r="F72" s="44"/>
      <c r="G72" s="149"/>
      <c r="H72" s="44"/>
      <c r="I72" s="149"/>
      <c r="J72" s="44"/>
      <c r="K72" s="149"/>
      <c r="L72" s="44"/>
      <c r="M72" s="149"/>
      <c r="N72" s="44"/>
      <c r="O72" s="149"/>
      <c r="P72" s="44"/>
      <c r="Q72" s="149"/>
      <c r="R72" s="44"/>
      <c r="S72" s="149"/>
      <c r="T72" s="44"/>
      <c r="U72" s="149"/>
      <c r="V72" s="44"/>
      <c r="W72" s="149"/>
      <c r="X72" s="44"/>
      <c r="Y72" s="149"/>
      <c r="Z72" s="44"/>
      <c r="AA72" s="149"/>
      <c r="AB72" s="33"/>
    </row>
    <row r="73" spans="2:50" outlineLevel="1" x14ac:dyDescent="0.25">
      <c r="C73" s="45" t="str">
        <f>Hidden_Lookups!A24</f>
        <v>Materials and Supplies</v>
      </c>
      <c r="D73" s="46"/>
      <c r="E73" s="149"/>
      <c r="F73" s="44">
        <f>SUMIF(Estimation!$A$168:$A$190,$C73,Estimation!J$168:J$190)</f>
        <v>0</v>
      </c>
      <c r="G73" s="149"/>
      <c r="H73" s="44">
        <f>SUMIF(Estimation!$A$168:$A$190,$C73,Estimation!L$168:L$190)</f>
        <v>0</v>
      </c>
      <c r="I73" s="149"/>
      <c r="J73" s="44">
        <f>SUMIF(Estimation!$A$168:$A190,$C73,Estimation!N$168:N$190)</f>
        <v>0</v>
      </c>
      <c r="K73" s="149"/>
      <c r="L73" s="44">
        <f>SUMIF(Estimation!$A$168:$A190,$C73,Estimation!P$168:P$190)</f>
        <v>0</v>
      </c>
      <c r="M73" s="149"/>
      <c r="N73" s="44">
        <f>SUMIF(Estimation!$A$168:$A190,$C73,Estimation!R$168:R$190)</f>
        <v>0</v>
      </c>
      <c r="O73" s="149"/>
      <c r="P73" s="44">
        <f>SUMIF(Estimation!$A$168:$A190,$C73,Estimation!T$168:T$190)</f>
        <v>0</v>
      </c>
      <c r="Q73" s="149"/>
      <c r="R73" s="44">
        <f>SUMIF(Estimation!$A$168:$A190,$C73,Estimation!V$168:V$190)</f>
        <v>0</v>
      </c>
      <c r="S73" s="149"/>
      <c r="T73" s="44">
        <f>SUMIF(Estimation!$A$168:$A190,$C73,Estimation!X$168:X$190)</f>
        <v>0</v>
      </c>
      <c r="U73" s="149"/>
      <c r="V73" s="44">
        <f>SUMIF(Estimation!$A$168:$A190,$C73,Estimation!Z$168:Z$190)</f>
        <v>0</v>
      </c>
      <c r="W73" s="149"/>
      <c r="X73" s="44">
        <f>SUMIF(Estimation!$A$168:$A190,$C73,Estimation!AB$168:AB$190)</f>
        <v>0</v>
      </c>
      <c r="Y73" s="149"/>
      <c r="Z73" s="44">
        <f>SUM(F73:X73)</f>
        <v>0</v>
      </c>
      <c r="AA73" s="149"/>
      <c r="AB73" s="33"/>
    </row>
    <row r="74" spans="2:50" s="23" customFormat="1" outlineLevel="1" x14ac:dyDescent="0.25">
      <c r="C74" s="45" t="str">
        <f>Hidden_Lookups!A25</f>
        <v>Publication Costs</v>
      </c>
      <c r="D74" s="78"/>
      <c r="E74" s="149"/>
      <c r="F74" s="44">
        <f>SUMIF(Estimation!$A$168:$A$190,$C74,Estimation!J$168:J$190)</f>
        <v>0</v>
      </c>
      <c r="G74" s="149"/>
      <c r="H74" s="44">
        <f>SUMIF(Estimation!$A$168:$A$190,$C74,Estimation!L$168:L$190)</f>
        <v>0</v>
      </c>
      <c r="I74" s="149"/>
      <c r="J74" s="44">
        <f ca="1">SUMIF(Estimation!$A$168:$A191,$C74,Estimation!N$168:N$190)</f>
        <v>0</v>
      </c>
      <c r="K74" s="149"/>
      <c r="L74" s="44">
        <f ca="1">SUMIF(Estimation!$A$168:$A191,$C74,Estimation!P$168:P$190)</f>
        <v>0</v>
      </c>
      <c r="M74" s="149"/>
      <c r="N74" s="44">
        <f ca="1">SUMIF(Estimation!$A$168:$A191,$C74,Estimation!R$168:R$190)</f>
        <v>0</v>
      </c>
      <c r="O74" s="149"/>
      <c r="P74" s="44">
        <f ca="1">SUMIF(Estimation!$A$168:$A191,$C74,Estimation!T$168:T$190)</f>
        <v>0</v>
      </c>
      <c r="Q74" s="149"/>
      <c r="R74" s="44">
        <f ca="1">SUMIF(Estimation!$A$168:$A191,$C74,Estimation!V$168:V$190)</f>
        <v>0</v>
      </c>
      <c r="S74" s="149"/>
      <c r="T74" s="44">
        <f ca="1">SUMIF(Estimation!$A$168:$A191,$C74,Estimation!X$168:X$190)</f>
        <v>0</v>
      </c>
      <c r="U74" s="149"/>
      <c r="V74" s="44">
        <f ca="1">SUMIF(Estimation!$A$168:$A191,$C74,Estimation!Z$168:Z$190)</f>
        <v>0</v>
      </c>
      <c r="W74" s="149"/>
      <c r="X74" s="44">
        <f ca="1">SUMIF(Estimation!$A$168:$A191,$C74,Estimation!AB$168:AB$190)</f>
        <v>0</v>
      </c>
      <c r="Y74" s="149"/>
      <c r="Z74" s="44">
        <f t="shared" ref="Z74:Z79" ca="1" si="2">SUM(F74:X74)</f>
        <v>0</v>
      </c>
      <c r="AA74" s="149"/>
      <c r="AB74" s="55"/>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5" t="str">
        <f>Hidden_Lookups!A26</f>
        <v>Consultant or Contract Services</v>
      </c>
      <c r="E75" s="149"/>
      <c r="F75" s="44">
        <f>SUMIF(Estimation!$A$168:$A$190,$C75,Estimation!J$168:J$190)</f>
        <v>0</v>
      </c>
      <c r="G75" s="149"/>
      <c r="H75" s="44">
        <f>SUMIF(Estimation!$A$168:$A$190,$C75,Estimation!L$168:L$190)</f>
        <v>0</v>
      </c>
      <c r="I75" s="149"/>
      <c r="J75" s="44">
        <f ca="1">SUMIF(Estimation!$A$168:$A192,$C75,Estimation!N$168:N$190)</f>
        <v>0</v>
      </c>
      <c r="K75" s="149"/>
      <c r="L75" s="44">
        <f ca="1">SUMIF(Estimation!$A$168:$A192,$C75,Estimation!P$168:P$190)</f>
        <v>0</v>
      </c>
      <c r="M75" s="149"/>
      <c r="N75" s="44">
        <f ca="1">SUMIF(Estimation!$A$168:$A192,$C75,Estimation!R$168:R$190)</f>
        <v>0</v>
      </c>
      <c r="O75" s="149"/>
      <c r="P75" s="44">
        <f ca="1">SUMIF(Estimation!$A$168:$A192,$C75,Estimation!T$168:T$190)</f>
        <v>0</v>
      </c>
      <c r="Q75" s="149"/>
      <c r="R75" s="44">
        <f ca="1">SUMIF(Estimation!$A$168:$A192,$C75,Estimation!V$168:V$190)</f>
        <v>0</v>
      </c>
      <c r="S75" s="149"/>
      <c r="T75" s="44">
        <f ca="1">SUMIF(Estimation!$A$168:$A192,$C75,Estimation!X$168:X$190)</f>
        <v>0</v>
      </c>
      <c r="U75" s="149"/>
      <c r="V75" s="44">
        <f ca="1">SUMIF(Estimation!$A$168:$A192,$C75,Estimation!Z$168:Z$190)</f>
        <v>0</v>
      </c>
      <c r="W75" s="149"/>
      <c r="X75" s="44">
        <f ca="1">SUMIF(Estimation!$A$168:$A192,$C75,Estimation!AB$168:AB$190)</f>
        <v>0</v>
      </c>
      <c r="Y75" s="149"/>
      <c r="Z75" s="44">
        <f t="shared" ca="1" si="2"/>
        <v>0</v>
      </c>
      <c r="AA75" s="149"/>
      <c r="AB75" s="33"/>
      <c r="AD75" s="23"/>
      <c r="AE75" s="23"/>
      <c r="AF75" s="23"/>
      <c r="AG75" s="23"/>
      <c r="AH75" s="23"/>
      <c r="AI75" s="23"/>
      <c r="AJ75" s="23"/>
      <c r="AK75" s="23"/>
      <c r="AL75" s="23"/>
      <c r="AM75" s="23"/>
      <c r="AN75" s="23"/>
      <c r="AO75" s="23"/>
      <c r="AP75" s="23"/>
      <c r="AQ75" s="23"/>
      <c r="AR75" s="23"/>
      <c r="AS75" s="23"/>
      <c r="AT75" s="23"/>
      <c r="AU75" s="23"/>
      <c r="AV75" s="23"/>
      <c r="AW75" s="23"/>
      <c r="AX75" s="23"/>
    </row>
    <row r="76" spans="2:50" outlineLevel="1" x14ac:dyDescent="0.25">
      <c r="C76" s="45" t="str">
        <f>Hidden_Lookups!A27</f>
        <v>Computer Services</v>
      </c>
      <c r="E76" s="149"/>
      <c r="F76" s="44">
        <f>SUMIF(Estimation!$A$168:$A$190,$C76,Estimation!J$168:J$190)</f>
        <v>0</v>
      </c>
      <c r="G76" s="149"/>
      <c r="H76" s="44">
        <f>SUMIF(Estimation!$A$168:$A$190,$C76,Estimation!L$168:L$190)</f>
        <v>0</v>
      </c>
      <c r="I76" s="149"/>
      <c r="J76" s="44">
        <f ca="1">SUMIF(Estimation!$A$168:$A193,$C76,Estimation!N$168:N$190)</f>
        <v>0</v>
      </c>
      <c r="K76" s="149"/>
      <c r="L76" s="44">
        <f ca="1">SUMIF(Estimation!$A$168:$A193,$C76,Estimation!P$168:P$190)</f>
        <v>0</v>
      </c>
      <c r="M76" s="149"/>
      <c r="N76" s="44">
        <f ca="1">SUMIF(Estimation!$A$168:$A193,$C76,Estimation!R$168:R$190)</f>
        <v>0</v>
      </c>
      <c r="O76" s="149"/>
      <c r="P76" s="44">
        <f ca="1">SUMIF(Estimation!$A$168:$A193,$C76,Estimation!T$168:T$190)</f>
        <v>0</v>
      </c>
      <c r="Q76" s="149"/>
      <c r="R76" s="44">
        <f ca="1">SUMIF(Estimation!$A$168:$A193,$C76,Estimation!V$168:V$190)</f>
        <v>0</v>
      </c>
      <c r="S76" s="149"/>
      <c r="T76" s="44">
        <f ca="1">SUMIF(Estimation!$A$168:$A193,$C76,Estimation!X$168:X$190)</f>
        <v>0</v>
      </c>
      <c r="U76" s="149"/>
      <c r="V76" s="44">
        <f ca="1">SUMIF(Estimation!$A$168:$A193,$C76,Estimation!Z$168:Z$190)</f>
        <v>0</v>
      </c>
      <c r="W76" s="149"/>
      <c r="X76" s="44">
        <f ca="1">SUMIF(Estimation!$A$168:$A193,$C76,Estimation!AB$168:AB$190)</f>
        <v>0</v>
      </c>
      <c r="Y76" s="149"/>
      <c r="Z76" s="44">
        <f t="shared" ca="1" si="2"/>
        <v>0</v>
      </c>
      <c r="AA76" s="149"/>
      <c r="AB76" s="33"/>
    </row>
    <row r="77" spans="2:50" outlineLevel="1" x14ac:dyDescent="0.25">
      <c r="C77" s="45" t="str">
        <f>Hidden_Lookups!A28</f>
        <v>Subawards</v>
      </c>
      <c r="E77" s="149"/>
      <c r="F77" s="44">
        <f>SUMIF(Estimation!$A$168:$A$190,$C77,Estimation!J$168:J$190)</f>
        <v>0</v>
      </c>
      <c r="G77" s="149"/>
      <c r="H77" s="44">
        <f>SUMIF(Estimation!$A$168:$A$190,$C77,Estimation!L$168:L$190)</f>
        <v>0</v>
      </c>
      <c r="I77" s="149"/>
      <c r="J77" s="44">
        <f ca="1">SUMIF(Estimation!$A$168:$A194,$C77,Estimation!N$168:N$190)</f>
        <v>0</v>
      </c>
      <c r="K77" s="149"/>
      <c r="L77" s="44">
        <f ca="1">SUMIF(Estimation!$A$168:$A194,$C77,Estimation!P$168:P$190)</f>
        <v>0</v>
      </c>
      <c r="M77" s="149"/>
      <c r="N77" s="44">
        <f ca="1">SUMIF(Estimation!$A$168:$A194,$C77,Estimation!R$168:R$190)</f>
        <v>0</v>
      </c>
      <c r="O77" s="149"/>
      <c r="P77" s="44">
        <f ca="1">SUMIF(Estimation!$A$168:$A194,$C77,Estimation!T$168:T$190)</f>
        <v>0</v>
      </c>
      <c r="Q77" s="149"/>
      <c r="R77" s="44">
        <f ca="1">SUMIF(Estimation!$A$168:$A194,$C77,Estimation!V$168:V$190)</f>
        <v>0</v>
      </c>
      <c r="S77" s="149"/>
      <c r="T77" s="44">
        <f ca="1">SUMIF(Estimation!$A$168:$A194,$C77,Estimation!X$168:X$190)</f>
        <v>0</v>
      </c>
      <c r="U77" s="149"/>
      <c r="V77" s="44">
        <f ca="1">SUMIF(Estimation!$A$168:$A194,$C77,Estimation!Z$168:Z$190)</f>
        <v>0</v>
      </c>
      <c r="W77" s="149"/>
      <c r="X77" s="44">
        <f ca="1">SUMIF(Estimation!$A$168:$A194,$C77,Estimation!AB$168:AB$190)</f>
        <v>0</v>
      </c>
      <c r="Y77" s="149"/>
      <c r="Z77" s="44">
        <f t="shared" ca="1" si="2"/>
        <v>0</v>
      </c>
      <c r="AA77" s="149"/>
      <c r="AB77" s="33"/>
    </row>
    <row r="78" spans="2:50" outlineLevel="1" x14ac:dyDescent="0.25">
      <c r="C78" s="45" t="str">
        <f>Hidden_Lookups!A30</f>
        <v>Other Direct Costs</v>
      </c>
      <c r="D78" s="46"/>
      <c r="E78" s="149"/>
      <c r="F78" s="44">
        <f>SUMIF(Estimation!$A$168:$A$190,$C78,Estimation!J$168:J$190)+F79</f>
        <v>0</v>
      </c>
      <c r="G78" s="149"/>
      <c r="H78" s="44">
        <f>SUMIF(Estimation!$A$168:$A$190,$C78,Estimation!L$168:L$190)+H79</f>
        <v>0</v>
      </c>
      <c r="I78" s="149"/>
      <c r="J78" s="44">
        <f ca="1">SUMIF(Estimation!$A$168:$A195,$C78,Estimation!N$168:N$190)+J79</f>
        <v>0</v>
      </c>
      <c r="K78" s="149"/>
      <c r="L78" s="44">
        <f ca="1">SUMIF(Estimation!$A$168:$A195,$C78,Estimation!P$168:P$190)+L79</f>
        <v>0</v>
      </c>
      <c r="M78" s="149"/>
      <c r="N78" s="44">
        <f ca="1">SUMIF(Estimation!$A$168:$A195,$C78,Estimation!R$168:R$190)+N79</f>
        <v>0</v>
      </c>
      <c r="O78" s="149"/>
      <c r="P78" s="44">
        <f ca="1">SUMIF(Estimation!$A$168:$A195,$C78,Estimation!T$168:T$190)+P79</f>
        <v>0</v>
      </c>
      <c r="Q78" s="149"/>
      <c r="R78" s="44">
        <f ca="1">SUMIF(Estimation!$A$168:$A195,$C78,Estimation!V$168:V$190)+R79</f>
        <v>0</v>
      </c>
      <c r="S78" s="149"/>
      <c r="T78" s="44">
        <f ca="1">SUMIF(Estimation!$A$168:$A195,$C78,Estimation!X$168:X$190)+T79</f>
        <v>0</v>
      </c>
      <c r="U78" s="149"/>
      <c r="V78" s="44">
        <f ca="1">SUMIF(Estimation!$A$168:$A195,$C78,Estimation!Z$168:Z$190)+V79</f>
        <v>0</v>
      </c>
      <c r="W78" s="149"/>
      <c r="X78" s="44">
        <f ca="1">SUMIF(Estimation!$A$168:$A195,$C78,Estimation!AB$168:AB$190)+X79</f>
        <v>0</v>
      </c>
      <c r="Y78" s="149"/>
      <c r="Z78" s="44">
        <f t="shared" ca="1" si="2"/>
        <v>0</v>
      </c>
      <c r="AA78" s="149"/>
      <c r="AB78" s="33"/>
    </row>
    <row r="79" spans="2:50" outlineLevel="1" x14ac:dyDescent="0.25">
      <c r="C79" s="175" t="str">
        <f>Hidden_Lookups!A29</f>
        <v>Tuition</v>
      </c>
      <c r="D79" s="19"/>
      <c r="E79" s="153"/>
      <c r="F79" s="72">
        <f>SUMIF(Estimation!$A$168:$A$190,$C79,Estimation!J$168:J$190)</f>
        <v>0</v>
      </c>
      <c r="G79" s="149"/>
      <c r="H79" s="72">
        <f>SUMIF(Estimation!$A$168:$A$190,$C79,Estimation!L$168:L$190)</f>
        <v>0</v>
      </c>
      <c r="I79" s="149"/>
      <c r="J79" s="72">
        <f ca="1">SUMIF(Estimation!$A$168:$A195,$C79,Estimation!N$168:N$190)</f>
        <v>0</v>
      </c>
      <c r="K79" s="149"/>
      <c r="L79" s="72">
        <f ca="1">SUMIF(Estimation!$A$168:$A195,$C79,Estimation!P$168:P$190)</f>
        <v>0</v>
      </c>
      <c r="M79" s="149"/>
      <c r="N79" s="72">
        <f ca="1">SUMIF(Estimation!$A$168:$A195,$C79,Estimation!R$168:R$190)</f>
        <v>0</v>
      </c>
      <c r="O79" s="153"/>
      <c r="P79" s="72">
        <f ca="1">SUMIF(Estimation!$A$168:$A195,$C79,Estimation!T$168:T$190)</f>
        <v>0</v>
      </c>
      <c r="Q79" s="153"/>
      <c r="R79" s="72">
        <f ca="1">SUMIF(Estimation!$A$168:$A195,$C79,Estimation!V$168:V$190)</f>
        <v>0</v>
      </c>
      <c r="S79" s="153"/>
      <c r="T79" s="72">
        <f ca="1">SUMIF(Estimation!$A$168:$A195,$C79,Estimation!X$168:X$190)</f>
        <v>0</v>
      </c>
      <c r="U79" s="153"/>
      <c r="V79" s="72">
        <f ca="1">SUMIF(Estimation!$A$168:$A195,$C79,Estimation!Z$168:Z$190)</f>
        <v>0</v>
      </c>
      <c r="W79" s="153"/>
      <c r="X79" s="72">
        <f ca="1">SUMIF(Estimation!$A$168:$A195,$C79,Estimation!AB$168:AB$190)</f>
        <v>0</v>
      </c>
      <c r="Y79" s="153"/>
      <c r="Z79" s="72">
        <f t="shared" ca="1" si="2"/>
        <v>0</v>
      </c>
      <c r="AA79" s="149"/>
      <c r="AB79" s="33"/>
    </row>
    <row r="80" spans="2:50" ht="8.25" customHeight="1" x14ac:dyDescent="0.25">
      <c r="C80" s="45"/>
      <c r="E80" s="150"/>
      <c r="F80" s="75"/>
      <c r="G80" s="150"/>
      <c r="H80" s="75"/>
      <c r="I80" s="150"/>
      <c r="J80" s="75"/>
      <c r="K80" s="150"/>
      <c r="L80" s="75"/>
      <c r="M80" s="150"/>
      <c r="N80" s="75"/>
      <c r="O80" s="150"/>
      <c r="P80" s="75"/>
      <c r="Q80" s="150"/>
      <c r="R80" s="75"/>
      <c r="S80" s="150"/>
      <c r="T80" s="75"/>
      <c r="U80" s="150"/>
      <c r="V80" s="75"/>
      <c r="W80" s="150"/>
      <c r="X80" s="75"/>
      <c r="Y80" s="150"/>
      <c r="Z80" s="75"/>
      <c r="AA80" s="150"/>
      <c r="AB80" s="33"/>
    </row>
    <row r="81" spans="2:50" x14ac:dyDescent="0.25">
      <c r="B81" s="45"/>
      <c r="C81" s="45"/>
      <c r="D81" s="162" t="s">
        <v>13</v>
      </c>
      <c r="E81" s="149"/>
      <c r="F81" s="44">
        <f>F78+F77+F76+F75+F74+F73</f>
        <v>0</v>
      </c>
      <c r="G81" s="149"/>
      <c r="H81" s="44">
        <f>H78+H77+H76+H75+H74+H73</f>
        <v>0</v>
      </c>
      <c r="I81" s="149"/>
      <c r="J81" s="44">
        <f ca="1">J78+J77+J76+J75+J74+J73</f>
        <v>0</v>
      </c>
      <c r="K81" s="149"/>
      <c r="L81" s="44">
        <f ca="1">L78+L77+L76+L75+L74+L73</f>
        <v>0</v>
      </c>
      <c r="M81" s="149"/>
      <c r="N81" s="44">
        <f ca="1">N78+N77+N76+N75+N74+N73</f>
        <v>0</v>
      </c>
      <c r="O81" s="149"/>
      <c r="P81" s="44">
        <f ca="1">P78+P77+P76+P75+P74+P73</f>
        <v>0</v>
      </c>
      <c r="Q81" s="149"/>
      <c r="R81" s="44">
        <f ca="1">R78+R77+R76+R75+R74+R73</f>
        <v>0</v>
      </c>
      <c r="S81" s="149"/>
      <c r="T81" s="44">
        <f ca="1">T78+T77+T76+T75+T74+T73</f>
        <v>0</v>
      </c>
      <c r="U81" s="149"/>
      <c r="V81" s="44">
        <f ca="1">V78+V77+V76+V75+V74+V73</f>
        <v>0</v>
      </c>
      <c r="W81" s="149"/>
      <c r="X81" s="44">
        <f ca="1">X78+X77+X76+X75+X74+X73</f>
        <v>0</v>
      </c>
      <c r="Y81" s="149"/>
      <c r="Z81" s="44">
        <f ca="1">SUM(F81:X81)</f>
        <v>0</v>
      </c>
      <c r="AA81" s="149"/>
      <c r="AB81" s="33"/>
    </row>
    <row r="82" spans="2:50" s="23" customFormat="1" x14ac:dyDescent="0.25">
      <c r="D82" s="148"/>
      <c r="E82" s="149"/>
      <c r="F82" s="44"/>
      <c r="G82" s="149"/>
      <c r="H82" s="44"/>
      <c r="I82" s="149"/>
      <c r="J82" s="44"/>
      <c r="K82" s="149"/>
      <c r="L82" s="44"/>
      <c r="M82" s="149"/>
      <c r="N82" s="44"/>
      <c r="O82" s="149"/>
      <c r="P82" s="44"/>
      <c r="Q82" s="149"/>
      <c r="R82" s="44"/>
      <c r="S82" s="149"/>
      <c r="T82" s="44"/>
      <c r="U82" s="149"/>
      <c r="V82" s="44"/>
      <c r="W82" s="149"/>
      <c r="X82" s="44"/>
      <c r="Y82" s="149"/>
      <c r="Z82" s="44"/>
      <c r="AA82" s="149"/>
      <c r="AB82" s="55"/>
      <c r="AD82" s="13"/>
      <c r="AE82" s="13"/>
      <c r="AF82" s="13"/>
      <c r="AG82" s="13"/>
      <c r="AH82" s="13"/>
      <c r="AI82" s="13"/>
      <c r="AJ82" s="13"/>
      <c r="AK82" s="13"/>
      <c r="AL82" s="13"/>
      <c r="AM82" s="13"/>
      <c r="AN82" s="13"/>
      <c r="AO82" s="13"/>
      <c r="AP82" s="13"/>
      <c r="AQ82" s="13"/>
      <c r="AR82" s="13"/>
      <c r="AS82" s="13"/>
      <c r="AT82" s="13"/>
      <c r="AU82" s="13"/>
      <c r="AV82" s="13"/>
      <c r="AW82" s="13"/>
      <c r="AX82" s="13"/>
    </row>
    <row r="83" spans="2:50" s="24" customFormat="1" x14ac:dyDescent="0.25">
      <c r="B83" s="163" t="s">
        <v>235</v>
      </c>
      <c r="C83" s="163"/>
      <c r="D83" s="164"/>
      <c r="E83" s="163"/>
      <c r="F83" s="165">
        <f>F81+F70+F65+F59+F54+F39</f>
        <v>0</v>
      </c>
      <c r="G83" s="165"/>
      <c r="H83" s="165">
        <f>H81+H70+H65+H59+H54+H39</f>
        <v>0</v>
      </c>
      <c r="I83" s="165"/>
      <c r="J83" s="165">
        <f ca="1">J81+J70+J65+J59+J54+J39</f>
        <v>0</v>
      </c>
      <c r="K83" s="165"/>
      <c r="L83" s="165">
        <f ca="1">L81+L70+L65+L59+L54+L39</f>
        <v>0</v>
      </c>
      <c r="M83" s="165"/>
      <c r="N83" s="165">
        <f ca="1">N81+N70+N65+N59+N54+N39</f>
        <v>0</v>
      </c>
      <c r="O83" s="166"/>
      <c r="P83" s="165">
        <f ca="1">P81+P70+P65+P59+P54+P39</f>
        <v>0</v>
      </c>
      <c r="Q83" s="166"/>
      <c r="R83" s="165">
        <f ca="1">R81+R70+R65+R59+R54+R39</f>
        <v>0</v>
      </c>
      <c r="S83" s="166"/>
      <c r="T83" s="165">
        <f ca="1">T81+T70+T65+T59+T54+T39</f>
        <v>0</v>
      </c>
      <c r="U83" s="166"/>
      <c r="V83" s="165">
        <f ca="1">V81+V70+V65+V59+V54+V39</f>
        <v>0</v>
      </c>
      <c r="W83" s="166"/>
      <c r="X83" s="165">
        <f ca="1">X81+X70+X65+X59+X54+X39</f>
        <v>0</v>
      </c>
      <c r="Y83" s="166"/>
      <c r="Z83" s="165">
        <f ca="1">SUM(N83+L83+J83+H83+F83+P83+R83+T83+V83+X83)</f>
        <v>0</v>
      </c>
      <c r="AA83" s="164"/>
      <c r="AC83" s="154">
        <f>Estimation!AD194</f>
        <v>0</v>
      </c>
      <c r="AD83" s="155" t="s">
        <v>234</v>
      </c>
      <c r="AE83" s="23"/>
      <c r="AF83" s="23"/>
      <c r="AG83" s="23"/>
      <c r="AH83" s="23"/>
      <c r="AI83" s="23"/>
      <c r="AJ83" s="23"/>
      <c r="AK83" s="23"/>
      <c r="AL83" s="23"/>
      <c r="AM83" s="23"/>
      <c r="AN83" s="23"/>
      <c r="AO83" s="23"/>
      <c r="AP83" s="23"/>
      <c r="AQ83" s="23"/>
      <c r="AR83" s="23"/>
      <c r="AS83" s="23"/>
      <c r="AT83" s="23"/>
      <c r="AU83" s="23"/>
      <c r="AV83" s="23"/>
      <c r="AW83" s="23"/>
      <c r="AX83" s="23"/>
    </row>
    <row r="84" spans="2:50" s="24" customFormat="1" x14ac:dyDescent="0.25">
      <c r="B84" s="158"/>
      <c r="C84" s="158"/>
      <c r="D84" s="159"/>
      <c r="E84" s="25"/>
      <c r="F84" s="37"/>
      <c r="G84" s="30"/>
      <c r="H84" s="37"/>
      <c r="I84" s="30"/>
      <c r="J84" s="37"/>
      <c r="K84" s="30"/>
      <c r="L84" s="37"/>
      <c r="M84" s="30"/>
      <c r="N84" s="37"/>
      <c r="O84" s="30"/>
      <c r="P84" s="37"/>
      <c r="Q84" s="30"/>
      <c r="R84" s="37"/>
      <c r="S84" s="30"/>
      <c r="T84" s="37"/>
      <c r="U84" s="30"/>
      <c r="V84" s="37"/>
      <c r="W84" s="30"/>
      <c r="X84" s="37"/>
      <c r="Y84" s="30"/>
      <c r="Z84" s="47"/>
      <c r="AA84" s="43"/>
      <c r="AC84" s="154"/>
      <c r="AD84" s="155"/>
    </row>
    <row r="85" spans="2:50" s="49" customFormat="1" x14ac:dyDescent="0.25">
      <c r="B85" s="83" t="s">
        <v>236</v>
      </c>
      <c r="C85" s="83"/>
      <c r="D85" s="167"/>
      <c r="E85" s="50"/>
      <c r="F85" s="84">
        <f>Estimation!J200</f>
        <v>0</v>
      </c>
      <c r="G85" s="168"/>
      <c r="H85" s="84">
        <f>Estimation!L200</f>
        <v>0</v>
      </c>
      <c r="I85" s="168"/>
      <c r="J85" s="84">
        <f>Estimation!N200</f>
        <v>0</v>
      </c>
      <c r="K85" s="168"/>
      <c r="L85" s="84">
        <f>Estimation!P200</f>
        <v>0</v>
      </c>
      <c r="M85" s="168"/>
      <c r="N85" s="84">
        <f>Estimation!R200</f>
        <v>0</v>
      </c>
      <c r="O85" s="168"/>
      <c r="P85" s="84">
        <f>Estimation!T200</f>
        <v>0</v>
      </c>
      <c r="Q85" s="168"/>
      <c r="R85" s="84">
        <f>Estimation!V200</f>
        <v>0</v>
      </c>
      <c r="S85" s="168"/>
      <c r="T85" s="84">
        <f>Estimation!X200</f>
        <v>0</v>
      </c>
      <c r="U85" s="168"/>
      <c r="V85" s="84">
        <f>Estimation!Z200</f>
        <v>0</v>
      </c>
      <c r="W85" s="168"/>
      <c r="X85" s="84">
        <f>Estimation!AB200</f>
        <v>0</v>
      </c>
      <c r="Y85" s="168"/>
      <c r="Z85" s="84">
        <f>SUM(F85:X85)</f>
        <v>0</v>
      </c>
      <c r="AA85" s="50"/>
      <c r="AB85" s="48"/>
      <c r="AC85" s="160">
        <f>Estimation!AD200</f>
        <v>0</v>
      </c>
      <c r="AD85" s="155" t="s">
        <v>234</v>
      </c>
      <c r="AE85" s="24"/>
      <c r="AF85" s="24"/>
      <c r="AG85" s="24"/>
      <c r="AH85" s="24"/>
      <c r="AI85" s="24"/>
      <c r="AJ85" s="24"/>
      <c r="AK85" s="24"/>
      <c r="AL85" s="24"/>
      <c r="AM85" s="24"/>
      <c r="AN85" s="24"/>
      <c r="AO85" s="24"/>
      <c r="AP85" s="24"/>
      <c r="AQ85" s="24"/>
      <c r="AR85" s="24"/>
      <c r="AS85" s="24"/>
      <c r="AT85" s="24"/>
      <c r="AU85" s="24"/>
      <c r="AV85" s="24"/>
      <c r="AW85" s="24"/>
      <c r="AX85" s="24"/>
    </row>
    <row r="86" spans="2:50" s="24" customFormat="1" x14ac:dyDescent="0.25">
      <c r="B86" s="161" t="str">
        <f>Estimation!E198&amp;" "&amp;Estimation!H198</f>
        <v>On-Campus MTDC</v>
      </c>
      <c r="D86" s="171">
        <f>Estimation!H199</f>
        <v>0.56499999999999995</v>
      </c>
      <c r="E86" s="37"/>
      <c r="F86" s="188">
        <f>Estimation!J198</f>
        <v>0</v>
      </c>
      <c r="G86" s="188"/>
      <c r="H86" s="188">
        <f>Estimation!L198</f>
        <v>0</v>
      </c>
      <c r="I86" s="188"/>
      <c r="J86" s="188">
        <f>Estimation!N198</f>
        <v>0</v>
      </c>
      <c r="K86" s="188"/>
      <c r="L86" s="188">
        <f>Estimation!P198</f>
        <v>0</v>
      </c>
      <c r="M86" s="188"/>
      <c r="N86" s="188">
        <f>Estimation!R198</f>
        <v>0</v>
      </c>
      <c r="O86" s="188"/>
      <c r="P86" s="188">
        <f>Estimation!T198</f>
        <v>0</v>
      </c>
      <c r="Q86" s="188"/>
      <c r="R86" s="188">
        <f>Estimation!V198</f>
        <v>0</v>
      </c>
      <c r="S86" s="188"/>
      <c r="T86" s="188">
        <f>Estimation!X198</f>
        <v>0</v>
      </c>
      <c r="U86" s="188"/>
      <c r="V86" s="188">
        <f>Estimation!Z198</f>
        <v>0</v>
      </c>
      <c r="W86" s="188"/>
      <c r="X86" s="188">
        <f>Estimation!AB198</f>
        <v>0</v>
      </c>
      <c r="Y86" s="188"/>
      <c r="Z86" s="189">
        <f>SUM(F86:X86)</f>
        <v>0</v>
      </c>
      <c r="AA86" s="33"/>
      <c r="AB86" s="33"/>
      <c r="AC86" s="37"/>
      <c r="AE86" s="49"/>
      <c r="AF86" s="49"/>
      <c r="AG86" s="49"/>
      <c r="AH86" s="49"/>
      <c r="AI86" s="49"/>
      <c r="AJ86" s="49"/>
      <c r="AK86" s="49"/>
      <c r="AL86" s="49"/>
      <c r="AM86" s="49"/>
      <c r="AN86" s="49"/>
      <c r="AO86" s="49"/>
      <c r="AP86" s="49"/>
      <c r="AQ86" s="49"/>
      <c r="AR86" s="49"/>
      <c r="AS86" s="49"/>
      <c r="AT86" s="49"/>
      <c r="AU86" s="49"/>
      <c r="AV86" s="49"/>
      <c r="AW86" s="49"/>
      <c r="AX86" s="49"/>
    </row>
    <row r="87" spans="2:50" s="80" customFormat="1" x14ac:dyDescent="0.25">
      <c r="C87" s="172" t="str">
        <f>Estimation!C199&amp;" "&amp;Estimation!C200</f>
        <v>Predetermined for the period 7/1/22-6/30/23: Provisional thereafter per HHS agreement dated 07/23/2024.</v>
      </c>
      <c r="D87" s="81"/>
      <c r="E87" s="33"/>
      <c r="F87" s="156"/>
      <c r="G87" s="33"/>
      <c r="H87" s="156"/>
      <c r="I87" s="33"/>
      <c r="J87" s="156"/>
      <c r="K87" s="33"/>
      <c r="L87" s="156"/>
      <c r="M87" s="33"/>
      <c r="N87" s="156"/>
      <c r="O87" s="33"/>
      <c r="P87" s="156"/>
      <c r="Q87" s="33"/>
      <c r="R87" s="156"/>
      <c r="S87" s="33"/>
      <c r="T87" s="156"/>
      <c r="U87" s="33"/>
      <c r="V87" s="156"/>
      <c r="W87" s="33"/>
      <c r="X87" s="156"/>
      <c r="Y87" s="33"/>
      <c r="AA87" s="33"/>
      <c r="AB87" s="79"/>
      <c r="AC87" s="179"/>
      <c r="AE87" s="24"/>
      <c r="AF87" s="24"/>
      <c r="AG87" s="24"/>
      <c r="AH87" s="24"/>
      <c r="AI87" s="24"/>
      <c r="AJ87" s="24"/>
      <c r="AK87" s="24"/>
      <c r="AL87" s="24"/>
      <c r="AM87" s="24"/>
      <c r="AN87" s="24"/>
      <c r="AO87" s="24"/>
      <c r="AP87" s="24"/>
      <c r="AQ87" s="24"/>
      <c r="AR87" s="24"/>
      <c r="AS87" s="24"/>
      <c r="AT87" s="24"/>
      <c r="AU87" s="24"/>
      <c r="AV87" s="24"/>
      <c r="AW87" s="24"/>
      <c r="AX87" s="24"/>
    </row>
    <row r="88" spans="2:50" s="80" customFormat="1" ht="15.75" thickBot="1" x14ac:dyDescent="0.3">
      <c r="D88" s="81"/>
      <c r="E88" s="33"/>
      <c r="F88" s="156"/>
      <c r="G88" s="33"/>
      <c r="H88" s="156"/>
      <c r="I88" s="33"/>
      <c r="J88" s="156"/>
      <c r="K88" s="33"/>
      <c r="L88" s="156"/>
      <c r="M88" s="33"/>
      <c r="N88" s="156"/>
      <c r="O88" s="33"/>
      <c r="P88" s="156"/>
      <c r="Q88" s="33"/>
      <c r="R88" s="156"/>
      <c r="S88" s="33"/>
      <c r="T88" s="156"/>
      <c r="U88" s="33"/>
      <c r="V88" s="156"/>
      <c r="W88" s="33"/>
      <c r="X88" s="156"/>
      <c r="Y88" s="33"/>
      <c r="AA88" s="33"/>
      <c r="AB88" s="79"/>
      <c r="AC88" s="179"/>
    </row>
    <row r="89" spans="2:50" s="81" customFormat="1" ht="16.5" thickTop="1" thickBot="1" x14ac:dyDescent="0.3">
      <c r="B89" s="85" t="s">
        <v>237</v>
      </c>
      <c r="C89" s="85"/>
      <c r="D89" s="51"/>
      <c r="E89" s="85"/>
      <c r="F89" s="52">
        <f>F85+F83</f>
        <v>0</v>
      </c>
      <c r="G89" s="52"/>
      <c r="H89" s="52">
        <f>H85+H83</f>
        <v>0</v>
      </c>
      <c r="I89" s="52"/>
      <c r="J89" s="52">
        <f ca="1">J85+J83</f>
        <v>0</v>
      </c>
      <c r="K89" s="52"/>
      <c r="L89" s="52">
        <f ca="1">L85+L83</f>
        <v>0</v>
      </c>
      <c r="M89" s="52"/>
      <c r="N89" s="52">
        <f ca="1">N85+N83</f>
        <v>0</v>
      </c>
      <c r="O89" s="53"/>
      <c r="P89" s="52">
        <f ca="1">P85+P83</f>
        <v>0</v>
      </c>
      <c r="Q89" s="53"/>
      <c r="R89" s="52">
        <f ca="1">R85+R83</f>
        <v>0</v>
      </c>
      <c r="S89" s="53"/>
      <c r="T89" s="52">
        <f ca="1">T85+T83</f>
        <v>0</v>
      </c>
      <c r="U89" s="53"/>
      <c r="V89" s="52">
        <f ca="1">V85+V83</f>
        <v>0</v>
      </c>
      <c r="W89" s="53"/>
      <c r="X89" s="52">
        <f ca="1">X85+X83</f>
        <v>0</v>
      </c>
      <c r="Y89" s="53"/>
      <c r="Z89" s="52">
        <f ca="1">F89+H89+J89+L89+N89+P89+R89+T89+V89+X89</f>
        <v>0</v>
      </c>
      <c r="AA89" s="51"/>
      <c r="AC89" s="86">
        <f>Estimation!G209</f>
        <v>0</v>
      </c>
      <c r="AD89" s="155" t="s">
        <v>234</v>
      </c>
      <c r="AE89" s="80"/>
      <c r="AF89" s="80"/>
      <c r="AG89" s="80"/>
      <c r="AH89" s="80"/>
      <c r="AI89" s="80"/>
      <c r="AJ89" s="80"/>
      <c r="AK89" s="80"/>
      <c r="AL89" s="80"/>
      <c r="AM89" s="80"/>
      <c r="AN89" s="80"/>
      <c r="AO89" s="80"/>
      <c r="AP89" s="80"/>
      <c r="AQ89" s="80"/>
      <c r="AR89" s="80"/>
      <c r="AS89" s="80"/>
      <c r="AT89" s="80"/>
      <c r="AU89" s="80"/>
      <c r="AV89" s="80"/>
      <c r="AW89" s="80"/>
      <c r="AX89" s="80"/>
    </row>
    <row r="90" spans="2:50" ht="16.5" thickTop="1" thickBot="1" x14ac:dyDescent="0.3">
      <c r="B90" s="35"/>
      <c r="C90" s="35"/>
      <c r="D90" s="147" t="s">
        <v>223</v>
      </c>
      <c r="E90" s="81"/>
      <c r="F90" s="82"/>
      <c r="G90" s="82"/>
      <c r="H90" s="82"/>
      <c r="I90" s="82"/>
      <c r="J90" s="82"/>
      <c r="K90" s="82"/>
      <c r="L90" s="82"/>
      <c r="M90" s="82"/>
      <c r="N90" s="82"/>
      <c r="O90" s="82"/>
      <c r="P90" s="82"/>
      <c r="Q90" s="82"/>
      <c r="R90" s="82"/>
      <c r="S90" s="82"/>
      <c r="T90" s="82"/>
      <c r="U90" s="82"/>
      <c r="V90" s="82"/>
      <c r="W90" s="82"/>
      <c r="X90" s="82"/>
      <c r="Y90" s="82"/>
      <c r="Z90" s="82"/>
      <c r="AA90" s="81"/>
      <c r="AC90" s="72"/>
      <c r="AE90" s="81"/>
      <c r="AF90" s="81"/>
      <c r="AG90" s="81"/>
      <c r="AH90" s="81"/>
      <c r="AI90" s="81"/>
      <c r="AJ90" s="81"/>
      <c r="AK90" s="81"/>
      <c r="AL90" s="81"/>
      <c r="AM90" s="81"/>
      <c r="AN90" s="81"/>
      <c r="AO90" s="81"/>
      <c r="AP90" s="81"/>
      <c r="AQ90" s="81"/>
      <c r="AR90" s="81"/>
      <c r="AS90" s="81"/>
      <c r="AT90" s="81"/>
      <c r="AU90" s="81"/>
      <c r="AV90" s="81"/>
      <c r="AW90" s="81"/>
      <c r="AX90" s="81"/>
    </row>
    <row r="91" spans="2:50" s="81" customFormat="1" ht="16.5" thickTop="1" thickBot="1" x14ac:dyDescent="0.3">
      <c r="B91" s="85" t="s">
        <v>56</v>
      </c>
      <c r="C91" s="85"/>
      <c r="D91" s="51"/>
      <c r="E91" s="85"/>
      <c r="F91" s="52">
        <f>Estimation!AF202</f>
        <v>0</v>
      </c>
      <c r="G91" s="52"/>
      <c r="H91" s="52">
        <f>Estimation!AH202</f>
        <v>0</v>
      </c>
      <c r="I91" s="52"/>
      <c r="J91" s="52">
        <f>Estimation!AJ202</f>
        <v>0</v>
      </c>
      <c r="K91" s="52"/>
      <c r="L91" s="52">
        <f>Estimation!AL202</f>
        <v>0</v>
      </c>
      <c r="M91" s="52"/>
      <c r="N91" s="52">
        <f>Estimation!AN202</f>
        <v>0</v>
      </c>
      <c r="O91" s="53"/>
      <c r="P91" s="52">
        <f>Estimation!AP202</f>
        <v>0</v>
      </c>
      <c r="Q91" s="53"/>
      <c r="R91" s="52">
        <f>Estimation!AR202</f>
        <v>0</v>
      </c>
      <c r="S91" s="53"/>
      <c r="T91" s="52">
        <f>Estimation!AT202</f>
        <v>0</v>
      </c>
      <c r="U91" s="53"/>
      <c r="V91" s="52">
        <f>Estimation!AV202</f>
        <v>0</v>
      </c>
      <c r="W91" s="53"/>
      <c r="X91" s="52">
        <f>Estimation!AX202</f>
        <v>0</v>
      </c>
      <c r="Y91" s="53"/>
      <c r="Z91" s="52">
        <f>F91+H91+J91+L91+N91+P91+R91+T91+V91+X91</f>
        <v>0</v>
      </c>
      <c r="AA91" s="51"/>
      <c r="AC91" s="86">
        <f>Estimation!AZ202</f>
        <v>0</v>
      </c>
      <c r="AD91" s="155" t="s">
        <v>234</v>
      </c>
      <c r="AE91" s="13"/>
      <c r="AF91" s="13"/>
      <c r="AG91" s="13"/>
      <c r="AH91" s="13"/>
      <c r="AI91" s="13"/>
      <c r="AJ91" s="13"/>
      <c r="AK91" s="13"/>
      <c r="AL91" s="13"/>
      <c r="AM91" s="13"/>
      <c r="AN91" s="13"/>
      <c r="AO91" s="13"/>
      <c r="AP91" s="13"/>
      <c r="AQ91" s="13"/>
      <c r="AR91" s="13"/>
      <c r="AS91" s="13"/>
      <c r="AT91" s="13"/>
      <c r="AU91" s="13"/>
      <c r="AV91" s="13"/>
      <c r="AW91" s="13"/>
      <c r="AX91" s="13"/>
    </row>
    <row r="92" spans="2:50" s="81" customFormat="1" ht="15.75" thickTop="1" x14ac:dyDescent="0.25">
      <c r="F92" s="82"/>
      <c r="G92" s="82"/>
      <c r="H92" s="82"/>
      <c r="I92" s="82"/>
      <c r="J92" s="82"/>
      <c r="K92" s="82"/>
      <c r="L92" s="82"/>
      <c r="M92" s="82"/>
      <c r="N92" s="82"/>
      <c r="O92" s="82"/>
      <c r="P92" s="82"/>
      <c r="Q92" s="82"/>
      <c r="R92" s="82"/>
      <c r="S92" s="82"/>
      <c r="T92" s="82"/>
      <c r="U92" s="82"/>
      <c r="V92" s="82"/>
      <c r="W92" s="82"/>
      <c r="X92" s="82"/>
      <c r="Y92" s="82"/>
      <c r="Z92" s="82"/>
    </row>
    <row r="93" spans="2:50" x14ac:dyDescent="0.25">
      <c r="D93" s="45"/>
      <c r="E93" s="13"/>
      <c r="AE93" s="81"/>
      <c r="AF93" s="81"/>
      <c r="AG93" s="81"/>
      <c r="AH93" s="81"/>
      <c r="AI93" s="81"/>
      <c r="AJ93" s="81"/>
      <c r="AK93" s="81"/>
      <c r="AL93" s="81"/>
      <c r="AM93" s="81"/>
      <c r="AN93" s="81"/>
      <c r="AO93" s="81"/>
      <c r="AP93" s="81"/>
      <c r="AQ93" s="81"/>
      <c r="AR93" s="81"/>
      <c r="AS93" s="81"/>
      <c r="AT93" s="81"/>
      <c r="AU93" s="81"/>
      <c r="AV93" s="81"/>
      <c r="AW93" s="81"/>
      <c r="AX93" s="81"/>
    </row>
    <row r="94" spans="2:50" x14ac:dyDescent="0.25">
      <c r="B94" s="157"/>
      <c r="C94" s="157"/>
      <c r="D94" s="45"/>
      <c r="E94" s="13"/>
    </row>
    <row r="95" spans="2:50" x14ac:dyDescent="0.25">
      <c r="E95" s="13"/>
    </row>
    <row r="96" spans="2:50" x14ac:dyDescent="0.25">
      <c r="D96" s="45"/>
      <c r="E96" s="13"/>
    </row>
    <row r="97" spans="4:5" x14ac:dyDescent="0.25">
      <c r="E97" s="13"/>
    </row>
    <row r="98" spans="4:5" x14ac:dyDescent="0.25">
      <c r="D98" s="45"/>
      <c r="E98" s="13"/>
    </row>
    <row r="99" spans="4:5" x14ac:dyDescent="0.25">
      <c r="E99" s="13"/>
    </row>
    <row r="100" spans="4:5" x14ac:dyDescent="0.25">
      <c r="D100" s="45"/>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6"/>
      <c r="E111" s="13"/>
    </row>
    <row r="112" spans="4:5" x14ac:dyDescent="0.25">
      <c r="D112" s="146"/>
      <c r="E112" s="13"/>
    </row>
    <row r="113" spans="4:5" x14ac:dyDescent="0.25">
      <c r="D113" s="146"/>
      <c r="E113" s="13"/>
    </row>
    <row r="114" spans="4:5" x14ac:dyDescent="0.25">
      <c r="D114" s="146"/>
    </row>
    <row r="115" spans="4:5" x14ac:dyDescent="0.25">
      <c r="D115" s="146"/>
    </row>
    <row r="116" spans="4:5" x14ac:dyDescent="0.25">
      <c r="D116" s="146"/>
    </row>
    <row r="117" spans="4:5" x14ac:dyDescent="0.25">
      <c r="D117" s="146"/>
    </row>
    <row r="118" spans="4:5" x14ac:dyDescent="0.25">
      <c r="D118" s="146"/>
    </row>
    <row r="119" spans="4:5" x14ac:dyDescent="0.25">
      <c r="D119" s="146"/>
    </row>
    <row r="120" spans="4:5" x14ac:dyDescent="0.25">
      <c r="D120" s="146"/>
    </row>
    <row r="121" spans="4:5" x14ac:dyDescent="0.25">
      <c r="D121" s="146"/>
    </row>
    <row r="122" spans="4:5" x14ac:dyDescent="0.25">
      <c r="D122" s="146"/>
    </row>
    <row r="123" spans="4:5" x14ac:dyDescent="0.25">
      <c r="D123" s="146"/>
    </row>
    <row r="124" spans="4:5" x14ac:dyDescent="0.25">
      <c r="D124" s="146"/>
    </row>
    <row r="125" spans="4:5" x14ac:dyDescent="0.25">
      <c r="D125" s="146"/>
    </row>
    <row r="126" spans="4:5" x14ac:dyDescent="0.25">
      <c r="D126" s="146"/>
    </row>
    <row r="128" spans="4:5"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A28" sqref="A28:L28"/>
    </sheetView>
  </sheetViews>
  <sheetFormatPr defaultRowHeight="15.75" x14ac:dyDescent="0.25"/>
  <cols>
    <col min="1" max="1" width="17.375" customWidth="1"/>
    <col min="5" max="5" width="7.125" customWidth="1"/>
    <col min="6" max="6" width="11.5" customWidth="1"/>
  </cols>
  <sheetData>
    <row r="1" spans="1:12" ht="53.45" customHeight="1" x14ac:dyDescent="0.25">
      <c r="A1" s="382" t="s">
        <v>97</v>
      </c>
      <c r="B1" s="382"/>
      <c r="C1" s="382"/>
      <c r="D1" s="382"/>
      <c r="E1" s="382"/>
      <c r="F1" s="382"/>
      <c r="G1" s="382"/>
      <c r="H1" s="382"/>
      <c r="I1" s="382"/>
      <c r="J1" s="382"/>
      <c r="K1" s="382"/>
      <c r="L1" s="382"/>
    </row>
    <row r="2" spans="1:12" ht="5.0999999999999996" customHeight="1" x14ac:dyDescent="0.25">
      <c r="A2" s="301"/>
      <c r="B2" s="298"/>
      <c r="C2" s="298"/>
      <c r="D2" s="298"/>
      <c r="E2" s="303"/>
      <c r="F2" s="303"/>
      <c r="G2" s="299"/>
      <c r="H2" s="299"/>
      <c r="I2" s="299"/>
      <c r="J2" s="299"/>
      <c r="L2" s="294"/>
    </row>
    <row r="3" spans="1:12" ht="15" customHeight="1" x14ac:dyDescent="0.25">
      <c r="A3" s="387" t="s">
        <v>325</v>
      </c>
      <c r="B3" s="388"/>
      <c r="C3" s="388"/>
      <c r="D3" s="388"/>
      <c r="E3" s="388"/>
      <c r="F3" s="388"/>
      <c r="G3" s="388"/>
      <c r="H3" s="388"/>
      <c r="I3" s="388"/>
      <c r="J3" s="388"/>
      <c r="K3" s="388"/>
      <c r="L3" s="389"/>
    </row>
    <row r="4" spans="1:12" ht="15.6" customHeight="1" x14ac:dyDescent="0.25">
      <c r="A4" s="300" t="s">
        <v>50</v>
      </c>
      <c r="B4" s="399" t="str">
        <f>IF(Estimation!E12=0, "", Estimation!E12)</f>
        <v xml:space="preserve"> </v>
      </c>
      <c r="C4" s="399"/>
      <c r="D4" s="399"/>
      <c r="E4" s="295"/>
      <c r="F4" s="302" t="s">
        <v>118</v>
      </c>
      <c r="G4" s="400"/>
      <c r="H4" s="400"/>
      <c r="I4" s="314" t="s">
        <v>100</v>
      </c>
      <c r="K4" s="414" t="str">
        <f>IF(Estimation!E1=0, "", Estimation!E1)</f>
        <v/>
      </c>
      <c r="L4" s="414"/>
    </row>
    <row r="5" spans="1:12" ht="5.0999999999999996" customHeight="1" x14ac:dyDescent="0.25">
      <c r="A5" s="301"/>
      <c r="B5" s="298"/>
      <c r="C5" s="298"/>
      <c r="D5" s="298"/>
      <c r="E5" s="303"/>
      <c r="F5" s="303"/>
      <c r="G5" s="299"/>
      <c r="H5" s="299"/>
      <c r="I5" s="299"/>
      <c r="J5" s="299"/>
      <c r="K5" s="296"/>
      <c r="L5" s="294"/>
    </row>
    <row r="6" spans="1:12" ht="30.6" customHeight="1" x14ac:dyDescent="0.25">
      <c r="A6" s="301" t="s">
        <v>99</v>
      </c>
      <c r="B6" s="402" t="str">
        <f>IF(Estimation!D9=0, "", Estimation!D9)</f>
        <v/>
      </c>
      <c r="C6" s="402"/>
      <c r="D6" s="402"/>
      <c r="E6" s="402"/>
      <c r="F6" s="402"/>
      <c r="G6" s="402"/>
      <c r="H6" s="402"/>
      <c r="I6" s="402"/>
      <c r="J6" s="402"/>
      <c r="K6" s="402"/>
      <c r="L6" s="402"/>
    </row>
    <row r="7" spans="1:12" ht="5.0999999999999996" customHeight="1" x14ac:dyDescent="0.25">
      <c r="A7" s="301"/>
      <c r="B7" s="298"/>
      <c r="C7" s="298"/>
      <c r="D7" s="298"/>
      <c r="E7" s="303"/>
      <c r="F7" s="303"/>
      <c r="G7" s="299"/>
      <c r="H7" s="299"/>
      <c r="I7" s="299"/>
      <c r="J7" s="299"/>
      <c r="K7" s="296"/>
      <c r="L7" s="294"/>
    </row>
    <row r="8" spans="1:12" x14ac:dyDescent="0.25">
      <c r="A8" s="301" t="s">
        <v>98</v>
      </c>
      <c r="B8" s="413" t="str">
        <f>IF(Estimation!E4=0, "", Estimation!E4)</f>
        <v/>
      </c>
      <c r="C8" s="413"/>
      <c r="D8" s="413"/>
      <c r="E8" s="401" t="s">
        <v>326</v>
      </c>
      <c r="F8" s="401"/>
      <c r="G8" s="415" t="str">
        <f>IF(Estimation!E18=0, "", Estimation!E18)</f>
        <v/>
      </c>
      <c r="H8" s="416"/>
      <c r="I8" s="416"/>
      <c r="J8" s="416"/>
    </row>
    <row r="9" spans="1:12" ht="5.0999999999999996" customHeight="1" x14ac:dyDescent="0.25">
      <c r="A9" s="301"/>
      <c r="B9" s="298"/>
      <c r="C9" s="298"/>
      <c r="D9" s="298"/>
      <c r="E9" s="303"/>
      <c r="F9" s="303"/>
      <c r="G9" s="299"/>
      <c r="H9" s="299"/>
      <c r="I9" s="299"/>
      <c r="J9" s="299"/>
      <c r="L9" s="294"/>
    </row>
    <row r="10" spans="1:12" x14ac:dyDescent="0.25">
      <c r="E10" s="298"/>
      <c r="F10" s="310"/>
      <c r="G10" s="417" t="s">
        <v>114</v>
      </c>
      <c r="H10" s="417"/>
      <c r="I10" s="313"/>
      <c r="J10" s="417" t="s">
        <v>115</v>
      </c>
      <c r="K10" s="418"/>
      <c r="L10" s="297"/>
    </row>
    <row r="11" spans="1:12" ht="5.0999999999999996" customHeight="1" x14ac:dyDescent="0.25">
      <c r="A11" s="301"/>
      <c r="B11" s="298"/>
      <c r="C11" s="298"/>
      <c r="D11" s="298"/>
      <c r="E11" s="303"/>
      <c r="F11" s="304"/>
      <c r="H11" s="299"/>
      <c r="I11" s="299"/>
      <c r="J11" s="299"/>
      <c r="K11" s="312"/>
      <c r="L11" s="294"/>
    </row>
    <row r="12" spans="1:12" x14ac:dyDescent="0.25">
      <c r="A12" s="301" t="s">
        <v>327</v>
      </c>
      <c r="B12" s="395" t="str">
        <f>Estimation!H198</f>
        <v>MTDC</v>
      </c>
      <c r="C12" s="396"/>
      <c r="D12" s="396"/>
      <c r="E12" s="295"/>
      <c r="F12" s="309" t="s">
        <v>111</v>
      </c>
      <c r="G12" s="419">
        <f>Estimation!J194</f>
        <v>0</v>
      </c>
      <c r="H12" s="419"/>
      <c r="I12" s="307"/>
      <c r="J12" s="419">
        <f>Estimation!AD194</f>
        <v>0</v>
      </c>
      <c r="K12" s="420"/>
      <c r="L12" s="297"/>
    </row>
    <row r="13" spans="1:12" ht="5.0999999999999996" customHeight="1" x14ac:dyDescent="0.25">
      <c r="A13" s="301"/>
      <c r="B13" s="298"/>
      <c r="C13" s="298"/>
      <c r="D13" s="298"/>
      <c r="E13" s="303"/>
      <c r="F13" s="304"/>
      <c r="H13" s="299"/>
      <c r="I13" s="299"/>
      <c r="J13" s="299"/>
      <c r="K13" s="312"/>
      <c r="L13" s="294"/>
    </row>
    <row r="14" spans="1:12" x14ac:dyDescent="0.25">
      <c r="A14" s="301" t="s">
        <v>328</v>
      </c>
      <c r="B14" s="397">
        <f>Estimation!H199</f>
        <v>0.56499999999999995</v>
      </c>
      <c r="C14" s="398"/>
      <c r="D14" s="398"/>
      <c r="E14" s="295"/>
      <c r="F14" s="309" t="s">
        <v>112</v>
      </c>
      <c r="G14" s="419">
        <f>Estimation!J200</f>
        <v>0</v>
      </c>
      <c r="H14" s="419"/>
      <c r="I14" s="305"/>
      <c r="J14" s="421">
        <f>Estimation!AD200</f>
        <v>0</v>
      </c>
      <c r="K14" s="422"/>
      <c r="L14" s="297"/>
    </row>
    <row r="15" spans="1:12" ht="5.0999999999999996" customHeight="1" x14ac:dyDescent="0.25">
      <c r="A15" s="301"/>
      <c r="B15" s="298"/>
      <c r="C15" s="298"/>
      <c r="D15" s="298"/>
      <c r="E15" s="303"/>
      <c r="F15" s="304"/>
      <c r="H15" s="299"/>
      <c r="I15" s="299"/>
      <c r="J15" s="299"/>
      <c r="K15" s="312"/>
      <c r="L15" s="294"/>
    </row>
    <row r="16" spans="1:12" x14ac:dyDescent="0.25">
      <c r="A16" s="301" t="s">
        <v>329</v>
      </c>
      <c r="B16" s="301"/>
      <c r="C16" s="301"/>
      <c r="D16" s="301"/>
      <c r="E16" s="301"/>
      <c r="F16" s="309" t="s">
        <v>24</v>
      </c>
      <c r="G16" s="391">
        <f>Estimation!J202</f>
        <v>0</v>
      </c>
      <c r="H16" s="391"/>
      <c r="J16" s="391">
        <f>Estimation!AD202</f>
        <v>0</v>
      </c>
      <c r="K16" s="392"/>
      <c r="L16" s="297"/>
    </row>
    <row r="17" spans="1:12" ht="5.0999999999999996" customHeight="1" x14ac:dyDescent="0.25">
      <c r="A17" s="301"/>
      <c r="B17" s="298"/>
      <c r="C17" s="298"/>
      <c r="D17" s="298"/>
      <c r="E17" s="303"/>
      <c r="F17" s="304"/>
      <c r="H17" s="299"/>
      <c r="I17" s="299"/>
      <c r="J17" s="299"/>
      <c r="K17" s="312"/>
      <c r="L17" s="294"/>
    </row>
    <row r="18" spans="1:12" x14ac:dyDescent="0.25">
      <c r="A18" s="306" t="s">
        <v>331</v>
      </c>
      <c r="B18" s="295" t="s">
        <v>330</v>
      </c>
      <c r="D18" s="295"/>
      <c r="E18" s="295"/>
      <c r="F18" s="311" t="s">
        <v>113</v>
      </c>
      <c r="G18" s="391">
        <f>Estimation!AF202</f>
        <v>0</v>
      </c>
      <c r="H18" s="391"/>
      <c r="I18" s="308"/>
      <c r="J18" s="393">
        <f>Estimation!AZ202</f>
        <v>0</v>
      </c>
      <c r="K18" s="394"/>
      <c r="L18" s="295"/>
    </row>
    <row r="19" spans="1:12" ht="5.0999999999999996" customHeight="1" x14ac:dyDescent="0.25">
      <c r="A19" s="301"/>
      <c r="B19" s="298"/>
      <c r="C19" s="298"/>
      <c r="D19" s="298"/>
      <c r="E19" s="303"/>
      <c r="F19" s="303"/>
      <c r="H19" s="299"/>
      <c r="I19" s="299"/>
      <c r="J19" s="299"/>
      <c r="K19" s="294"/>
      <c r="L19" s="294"/>
    </row>
    <row r="20" spans="1:12" ht="15" customHeight="1" x14ac:dyDescent="0.25">
      <c r="A20" s="387" t="s">
        <v>332</v>
      </c>
      <c r="B20" s="388"/>
      <c r="C20" s="388"/>
      <c r="D20" s="388"/>
      <c r="E20" s="388"/>
      <c r="F20" s="388"/>
      <c r="G20" s="388"/>
      <c r="H20" s="388"/>
      <c r="I20" s="388"/>
      <c r="J20" s="388"/>
      <c r="K20" s="388"/>
      <c r="L20" s="389"/>
    </row>
    <row r="21" spans="1:12" ht="74.099999999999994" customHeight="1" x14ac:dyDescent="0.25">
      <c r="A21" s="383" t="s">
        <v>333</v>
      </c>
      <c r="B21" s="384"/>
      <c r="C21" s="384"/>
      <c r="D21" s="384"/>
      <c r="E21" s="384"/>
      <c r="F21" s="384"/>
      <c r="G21" s="384"/>
      <c r="H21" s="384"/>
      <c r="I21" s="384"/>
      <c r="J21" s="384"/>
      <c r="K21" s="384"/>
      <c r="L21" s="385"/>
    </row>
    <row r="22" spans="1:12" x14ac:dyDescent="0.25">
      <c r="A22" s="386" t="s">
        <v>102</v>
      </c>
      <c r="B22" s="386"/>
      <c r="C22" s="386"/>
      <c r="D22" s="386"/>
      <c r="E22" s="386"/>
      <c r="F22" s="386"/>
      <c r="G22" s="386"/>
      <c r="H22" s="386"/>
      <c r="I22" s="386"/>
      <c r="J22" s="386"/>
      <c r="K22" s="386"/>
      <c r="L22" s="386"/>
    </row>
    <row r="23" spans="1:12" x14ac:dyDescent="0.25">
      <c r="A23" s="390" t="s">
        <v>103</v>
      </c>
      <c r="B23" s="390"/>
      <c r="C23" s="390"/>
      <c r="D23" s="390"/>
      <c r="E23" s="390"/>
      <c r="F23" s="390"/>
      <c r="G23" s="390"/>
      <c r="H23" s="390"/>
      <c r="I23" s="390"/>
      <c r="J23" s="390"/>
      <c r="K23" s="390"/>
      <c r="L23" s="390"/>
    </row>
    <row r="24" spans="1:12" ht="15.6" customHeight="1" x14ac:dyDescent="0.25">
      <c r="A24" s="405" t="s">
        <v>116</v>
      </c>
      <c r="B24" s="405"/>
      <c r="C24" s="405"/>
      <c r="D24" s="405"/>
      <c r="E24" s="405"/>
      <c r="F24" s="405"/>
      <c r="G24" s="405"/>
      <c r="H24" s="405"/>
      <c r="I24" s="405"/>
      <c r="J24" s="405"/>
      <c r="K24" s="405"/>
      <c r="L24" s="405"/>
    </row>
    <row r="25" spans="1:12" ht="15.6" customHeight="1" x14ac:dyDescent="0.25">
      <c r="A25" s="405" t="s">
        <v>104</v>
      </c>
      <c r="B25" s="405"/>
      <c r="C25" s="405"/>
      <c r="D25" s="405"/>
      <c r="E25" s="405"/>
      <c r="F25" s="405"/>
      <c r="G25" s="405"/>
      <c r="H25" s="405"/>
      <c r="I25" s="405"/>
      <c r="J25" s="405"/>
      <c r="K25" s="405"/>
      <c r="L25" s="405"/>
    </row>
    <row r="26" spans="1:12" ht="15.6" customHeight="1" x14ac:dyDescent="0.25">
      <c r="A26" s="406" t="s">
        <v>273</v>
      </c>
      <c r="B26" s="406"/>
      <c r="C26" s="406"/>
      <c r="D26" s="406"/>
      <c r="E26" s="406"/>
      <c r="F26" s="406"/>
      <c r="G26" s="406"/>
      <c r="H26" s="406"/>
      <c r="I26" s="406"/>
      <c r="J26" s="406"/>
      <c r="K26" s="406"/>
      <c r="L26" s="406"/>
    </row>
    <row r="27" spans="1:12" ht="5.0999999999999996" customHeight="1" x14ac:dyDescent="0.25">
      <c r="A27" s="301"/>
      <c r="B27" s="298"/>
      <c r="C27" s="298"/>
      <c r="D27" s="298"/>
      <c r="E27" s="303"/>
      <c r="F27" s="303"/>
      <c r="H27" s="299"/>
      <c r="I27" s="299"/>
      <c r="J27" s="299"/>
      <c r="K27" s="294"/>
      <c r="L27" s="294"/>
    </row>
    <row r="28" spans="1:12" ht="29.1" customHeight="1" x14ac:dyDescent="0.25">
      <c r="A28" s="403" t="s">
        <v>388</v>
      </c>
      <c r="B28" s="403"/>
      <c r="C28" s="403"/>
      <c r="D28" s="403"/>
      <c r="E28" s="403"/>
      <c r="F28" s="403"/>
      <c r="G28" s="403"/>
      <c r="H28" s="403"/>
      <c r="I28" s="403"/>
      <c r="J28" s="403"/>
      <c r="K28" s="403"/>
      <c r="L28" s="403"/>
    </row>
    <row r="29" spans="1:12" x14ac:dyDescent="0.25">
      <c r="A29" s="404" t="s">
        <v>261</v>
      </c>
      <c r="B29" s="404"/>
      <c r="C29" s="404"/>
      <c r="D29" s="404"/>
      <c r="E29" s="404"/>
      <c r="F29" s="404"/>
      <c r="G29" s="412"/>
      <c r="H29" s="412"/>
      <c r="I29" s="412"/>
      <c r="J29" s="412"/>
      <c r="K29" s="412"/>
      <c r="L29" s="412"/>
    </row>
    <row r="30" spans="1:12" ht="5.0999999999999996" customHeight="1" x14ac:dyDescent="0.25">
      <c r="A30" s="301"/>
      <c r="B30" s="298"/>
      <c r="C30" s="298"/>
      <c r="D30" s="298"/>
      <c r="E30" s="303"/>
      <c r="F30" s="303"/>
      <c r="H30" s="299"/>
      <c r="I30" s="299"/>
      <c r="J30" s="299"/>
      <c r="K30" s="294"/>
      <c r="L30" s="294"/>
    </row>
    <row r="31" spans="1:12" x14ac:dyDescent="0.25">
      <c r="A31" s="390" t="s">
        <v>105</v>
      </c>
      <c r="B31" s="390"/>
      <c r="C31" s="390"/>
      <c r="D31" s="390"/>
      <c r="E31" s="390"/>
      <c r="F31" s="390"/>
      <c r="G31" s="412"/>
      <c r="H31" s="412"/>
      <c r="I31" s="412"/>
      <c r="J31" s="412"/>
      <c r="K31" s="412"/>
      <c r="L31" s="412"/>
    </row>
    <row r="32" spans="1:12" ht="5.0999999999999996" customHeight="1" x14ac:dyDescent="0.25">
      <c r="A32" s="301"/>
      <c r="B32" s="298"/>
      <c r="C32" s="298"/>
      <c r="D32" s="298"/>
      <c r="E32" s="303"/>
      <c r="F32" s="303"/>
      <c r="H32" s="299"/>
      <c r="I32" s="299"/>
      <c r="J32" s="299"/>
      <c r="K32" s="294"/>
      <c r="L32" s="294"/>
    </row>
    <row r="33" spans="1:12" x14ac:dyDescent="0.25">
      <c r="A33" s="390" t="s">
        <v>106</v>
      </c>
      <c r="B33" s="390"/>
      <c r="C33" s="390"/>
      <c r="D33" s="390"/>
      <c r="E33" s="390"/>
      <c r="F33" s="390"/>
      <c r="G33" s="412"/>
      <c r="H33" s="412"/>
      <c r="I33" s="412"/>
      <c r="J33" s="412"/>
      <c r="K33" s="412"/>
      <c r="L33" s="412"/>
    </row>
    <row r="34" spans="1:12" ht="5.0999999999999996" customHeight="1" x14ac:dyDescent="0.25">
      <c r="A34" s="301"/>
      <c r="B34" s="298"/>
      <c r="C34" s="298"/>
      <c r="D34" s="298"/>
      <c r="E34" s="303"/>
      <c r="F34" s="303"/>
      <c r="H34" s="299"/>
      <c r="I34" s="299"/>
      <c r="J34" s="299"/>
      <c r="K34" s="294"/>
      <c r="L34" s="294"/>
    </row>
    <row r="35" spans="1:12" x14ac:dyDescent="0.25">
      <c r="A35" s="390" t="s">
        <v>107</v>
      </c>
      <c r="B35" s="390"/>
      <c r="C35" s="390"/>
      <c r="D35" s="390"/>
      <c r="E35" s="390"/>
      <c r="F35" s="390"/>
      <c r="G35" s="412"/>
      <c r="H35" s="412"/>
      <c r="I35" s="412"/>
      <c r="J35" s="412"/>
      <c r="K35" s="412"/>
      <c r="L35" s="412"/>
    </row>
    <row r="36" spans="1:12" ht="5.0999999999999996" customHeight="1" x14ac:dyDescent="0.25">
      <c r="A36" s="301"/>
      <c r="B36" s="298"/>
      <c r="C36" s="298"/>
      <c r="D36" s="298"/>
      <c r="E36" s="303"/>
      <c r="F36" s="303"/>
      <c r="H36" s="299"/>
      <c r="I36" s="299"/>
      <c r="J36" s="299"/>
      <c r="K36" s="294"/>
      <c r="L36" s="294"/>
    </row>
    <row r="37" spans="1:12" x14ac:dyDescent="0.25">
      <c r="A37" s="423" t="s">
        <v>108</v>
      </c>
      <c r="B37" s="423"/>
      <c r="C37" s="423"/>
      <c r="D37" s="423"/>
      <c r="E37" s="423"/>
      <c r="F37" s="423"/>
      <c r="G37" s="412"/>
      <c r="H37" s="412"/>
      <c r="I37" s="412"/>
      <c r="J37" s="412"/>
      <c r="K37" s="412"/>
      <c r="L37" s="412"/>
    </row>
    <row r="38" spans="1:12" ht="5.0999999999999996" customHeight="1" x14ac:dyDescent="0.25">
      <c r="A38" s="301"/>
      <c r="B38" s="298"/>
      <c r="C38" s="298"/>
      <c r="D38" s="298"/>
      <c r="E38" s="303"/>
      <c r="F38" s="303"/>
      <c r="H38" s="299"/>
      <c r="I38" s="299"/>
      <c r="J38" s="299"/>
      <c r="K38" s="294"/>
      <c r="L38" s="294"/>
    </row>
    <row r="39" spans="1:12" x14ac:dyDescent="0.25">
      <c r="A39" s="423" t="s">
        <v>109</v>
      </c>
      <c r="B39" s="423"/>
      <c r="C39" s="423"/>
      <c r="D39" s="423"/>
      <c r="E39" s="423"/>
      <c r="F39" s="423"/>
      <c r="G39" s="412"/>
      <c r="H39" s="412"/>
      <c r="I39" s="412"/>
      <c r="J39" s="412"/>
      <c r="K39" s="412"/>
      <c r="L39" s="412"/>
    </row>
    <row r="40" spans="1:12" ht="5.0999999999999996" customHeight="1" x14ac:dyDescent="0.25">
      <c r="A40" s="301"/>
      <c r="B40" s="298"/>
      <c r="C40" s="298"/>
      <c r="D40" s="298"/>
      <c r="E40" s="303"/>
      <c r="F40" s="303"/>
      <c r="H40" s="299"/>
      <c r="I40" s="299"/>
      <c r="J40" s="299"/>
      <c r="K40" s="294"/>
      <c r="L40" s="294"/>
    </row>
    <row r="41" spans="1:12" x14ac:dyDescent="0.25">
      <c r="A41" s="390" t="s">
        <v>110</v>
      </c>
      <c r="B41" s="390"/>
      <c r="C41" s="390"/>
      <c r="D41" s="390"/>
      <c r="E41" s="390"/>
      <c r="F41" s="390"/>
      <c r="G41" s="412"/>
      <c r="H41" s="412"/>
      <c r="I41" s="412"/>
      <c r="J41" s="412"/>
      <c r="K41" s="412"/>
      <c r="L41" s="412"/>
    </row>
    <row r="42" spans="1:12" ht="50.1" customHeight="1" x14ac:dyDescent="0.25">
      <c r="A42" s="407" t="s">
        <v>117</v>
      </c>
      <c r="B42" s="408"/>
      <c r="C42" s="408"/>
      <c r="D42" s="408"/>
      <c r="E42" s="408"/>
      <c r="F42" s="408"/>
      <c r="G42" s="408"/>
      <c r="H42" s="408"/>
      <c r="I42" s="408"/>
      <c r="J42" s="408"/>
      <c r="K42" s="408"/>
      <c r="L42" s="408"/>
    </row>
    <row r="43" spans="1:12" ht="55.5" customHeight="1" x14ac:dyDescent="0.25">
      <c r="A43" s="409"/>
      <c r="B43" s="410"/>
      <c r="C43" s="410"/>
      <c r="D43" s="410"/>
      <c r="E43" s="410"/>
      <c r="F43" s="410"/>
      <c r="G43" s="410"/>
      <c r="H43" s="410"/>
      <c r="I43" s="410"/>
      <c r="J43" s="410"/>
      <c r="K43" s="410"/>
      <c r="L43" s="411"/>
    </row>
    <row r="44" spans="1:12" ht="5.0999999999999996" customHeight="1" x14ac:dyDescent="0.25">
      <c r="A44" s="301"/>
      <c r="B44" s="298"/>
      <c r="C44" s="298"/>
      <c r="D44" s="298"/>
      <c r="E44" s="303"/>
      <c r="F44" s="303"/>
      <c r="H44" s="299"/>
      <c r="I44" s="299"/>
      <c r="J44" s="299"/>
      <c r="K44" s="294"/>
      <c r="L44" s="294"/>
    </row>
    <row r="45" spans="1:12" ht="15" customHeight="1" x14ac:dyDescent="0.25">
      <c r="A45" s="387" t="s">
        <v>334</v>
      </c>
      <c r="B45" s="388"/>
      <c r="C45" s="388"/>
      <c r="D45" s="388"/>
      <c r="E45" s="388"/>
      <c r="F45" s="388"/>
      <c r="G45" s="388"/>
      <c r="H45" s="388"/>
      <c r="I45" s="388"/>
      <c r="J45" s="388"/>
      <c r="K45" s="388"/>
      <c r="L45" s="389"/>
    </row>
    <row r="46" spans="1:12" ht="45.6" customHeight="1" x14ac:dyDescent="0.25">
      <c r="A46" s="383" t="s">
        <v>342</v>
      </c>
      <c r="B46" s="384"/>
      <c r="C46" s="384"/>
      <c r="D46" s="384"/>
      <c r="E46" s="384"/>
      <c r="F46" s="384"/>
      <c r="G46" s="384"/>
      <c r="H46" s="384"/>
      <c r="I46" s="384"/>
      <c r="J46" s="384"/>
      <c r="K46" s="384"/>
      <c r="L46" s="385"/>
    </row>
    <row r="47" spans="1:12" x14ac:dyDescent="0.25">
      <c r="A47" s="297"/>
      <c r="B47" s="297"/>
      <c r="C47" s="297"/>
      <c r="D47" s="297"/>
      <c r="E47" s="297"/>
      <c r="F47" s="297"/>
      <c r="G47" s="297"/>
      <c r="H47" s="297"/>
      <c r="I47" s="297"/>
      <c r="J47" s="297"/>
      <c r="K47" s="297"/>
      <c r="L47" s="297"/>
    </row>
    <row r="48" spans="1:12" x14ac:dyDescent="0.25">
      <c r="A48" s="297"/>
      <c r="B48" s="297"/>
      <c r="C48" s="297"/>
      <c r="D48" s="297"/>
      <c r="E48" s="297"/>
      <c r="F48" s="297"/>
      <c r="G48" s="297"/>
      <c r="H48" s="297"/>
      <c r="I48" s="297"/>
      <c r="J48" s="297"/>
      <c r="K48" s="297"/>
      <c r="L48" s="297"/>
    </row>
    <row r="49" spans="1:12" x14ac:dyDescent="0.25">
      <c r="A49" s="315"/>
      <c r="B49" s="315"/>
      <c r="C49" s="315"/>
      <c r="D49" s="315"/>
      <c r="E49" s="315"/>
      <c r="G49" s="315"/>
      <c r="H49" s="315"/>
      <c r="I49" s="315"/>
      <c r="J49" s="315"/>
      <c r="K49" s="315"/>
      <c r="L49" s="315"/>
    </row>
    <row r="50" spans="1:12" x14ac:dyDescent="0.25">
      <c r="A50" s="302" t="s">
        <v>335</v>
      </c>
      <c r="B50" s="297"/>
      <c r="C50" s="297"/>
      <c r="D50" s="297"/>
      <c r="E50" s="297" t="s">
        <v>101</v>
      </c>
      <c r="G50" s="319" t="s">
        <v>343</v>
      </c>
      <c r="H50" s="297"/>
      <c r="I50" s="297"/>
      <c r="J50" s="297"/>
      <c r="L50" s="297" t="s">
        <v>101</v>
      </c>
    </row>
    <row r="51" spans="1:12" x14ac:dyDescent="0.25">
      <c r="A51" s="297"/>
      <c r="B51" s="297"/>
      <c r="C51" s="297"/>
      <c r="D51" s="297"/>
      <c r="E51" s="297"/>
      <c r="G51" s="297"/>
      <c r="H51" s="297"/>
      <c r="I51" s="297"/>
      <c r="J51" s="297"/>
      <c r="K51" s="297"/>
      <c r="L51" s="297"/>
    </row>
  </sheetData>
  <mergeCells count="47">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 ref="B8:D8"/>
    <mergeCell ref="K4:L4"/>
    <mergeCell ref="G8:J8"/>
    <mergeCell ref="G10:H10"/>
    <mergeCell ref="J10:K10"/>
    <mergeCell ref="A45:L45"/>
    <mergeCell ref="A28:L28"/>
    <mergeCell ref="A29:F29"/>
    <mergeCell ref="A24:L24"/>
    <mergeCell ref="A25:L25"/>
    <mergeCell ref="A26:L26"/>
    <mergeCell ref="A41:F41"/>
    <mergeCell ref="A42:L42"/>
    <mergeCell ref="A43:L43"/>
    <mergeCell ref="G41:L41"/>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s>
  <pageMargins left="0.7" right="0.7" top="0.75" bottom="0.75" header="0.3" footer="0.3"/>
  <pageSetup scale="7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1</xdr:col>
                    <xdr:colOff>142875</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56"/>
  <sheetViews>
    <sheetView zoomScale="125" zoomScaleNormal="125" zoomScalePageLayoutView="85" workbookViewId="0">
      <selection activeCell="M10" sqref="M10:S10"/>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45" t="s">
        <v>119</v>
      </c>
      <c r="B1" s="546"/>
      <c r="C1" s="546"/>
      <c r="D1" s="546"/>
      <c r="E1" s="546"/>
      <c r="F1" s="546"/>
      <c r="G1" s="546"/>
      <c r="H1" s="546"/>
      <c r="I1" s="546"/>
      <c r="J1" s="546"/>
      <c r="K1" s="546"/>
      <c r="L1" s="546"/>
      <c r="M1" s="546"/>
      <c r="N1" s="546"/>
      <c r="O1" s="546"/>
      <c r="P1" s="546"/>
      <c r="Q1" s="546"/>
      <c r="R1" s="546"/>
      <c r="S1" s="547"/>
      <c r="T1" s="229"/>
      <c r="U1" s="515" t="s">
        <v>286</v>
      </c>
      <c r="V1" s="515"/>
      <c r="W1" s="515"/>
      <c r="X1" s="515"/>
      <c r="Y1" s="515"/>
      <c r="Z1" s="515"/>
      <c r="AA1" s="515"/>
    </row>
    <row r="2" spans="1:43" ht="21" customHeight="1" x14ac:dyDescent="0.3">
      <c r="A2" s="548" t="s">
        <v>120</v>
      </c>
      <c r="B2" s="549"/>
      <c r="C2" s="549"/>
      <c r="D2" s="549"/>
      <c r="E2" s="549"/>
      <c r="F2" s="549"/>
      <c r="G2" s="549"/>
      <c r="H2" s="549"/>
      <c r="I2" s="549"/>
      <c r="J2" s="549"/>
      <c r="K2" s="549"/>
      <c r="L2" s="549"/>
      <c r="M2" s="549"/>
      <c r="N2" s="549"/>
      <c r="O2" s="549"/>
      <c r="P2" s="549"/>
      <c r="Q2" s="549"/>
      <c r="R2" s="549"/>
      <c r="S2" s="550"/>
      <c r="T2" s="229"/>
      <c r="U2" s="515"/>
      <c r="V2" s="515"/>
      <c r="W2" s="515"/>
      <c r="X2" s="515"/>
      <c r="Y2" s="515"/>
      <c r="Z2" s="515"/>
      <c r="AA2" s="515"/>
    </row>
    <row r="3" spans="1:43" s="230" customFormat="1" ht="16.5" customHeight="1" x14ac:dyDescent="0.2">
      <c r="A3" s="516" t="s">
        <v>50</v>
      </c>
      <c r="B3" s="517"/>
      <c r="C3" s="517"/>
      <c r="D3" s="517"/>
      <c r="E3" s="517"/>
      <c r="F3" s="517"/>
      <c r="G3" s="551" t="str">
        <f>Estimation!E12</f>
        <v xml:space="preserve"> </v>
      </c>
      <c r="H3" s="519"/>
      <c r="I3" s="519"/>
      <c r="J3" s="520"/>
      <c r="K3" s="516" t="s">
        <v>98</v>
      </c>
      <c r="L3" s="517"/>
      <c r="M3" s="517"/>
      <c r="N3" s="527"/>
      <c r="O3" s="572">
        <f>Estimation!E4</f>
        <v>0</v>
      </c>
      <c r="P3" s="573"/>
      <c r="Q3" s="573"/>
      <c r="R3" s="573"/>
      <c r="S3" s="574"/>
      <c r="U3" s="515"/>
      <c r="V3" s="515"/>
      <c r="W3" s="515"/>
      <c r="X3" s="515"/>
      <c r="Y3" s="515"/>
      <c r="Z3" s="515"/>
      <c r="AA3" s="515"/>
      <c r="AB3" s="231"/>
      <c r="AC3" s="231"/>
      <c r="AD3" s="231"/>
      <c r="AE3" s="231"/>
      <c r="AF3" s="231"/>
      <c r="AG3" s="231"/>
      <c r="AH3" s="231"/>
      <c r="AI3" s="231"/>
      <c r="AJ3" s="231"/>
      <c r="AK3" s="231"/>
      <c r="AL3" s="231"/>
      <c r="AM3" s="231"/>
      <c r="AN3" s="231"/>
      <c r="AO3" s="231"/>
      <c r="AP3" s="231"/>
      <c r="AQ3" s="231"/>
    </row>
    <row r="4" spans="1:43" s="230" customFormat="1" ht="16.5" customHeight="1" x14ac:dyDescent="0.2">
      <c r="A4" s="516" t="s">
        <v>99</v>
      </c>
      <c r="B4" s="517"/>
      <c r="C4" s="517"/>
      <c r="D4" s="517"/>
      <c r="E4" s="517"/>
      <c r="F4" s="517"/>
      <c r="G4" s="552">
        <f>Estimation!D9</f>
        <v>0</v>
      </c>
      <c r="H4" s="553"/>
      <c r="I4" s="553"/>
      <c r="J4" s="554"/>
      <c r="K4" s="555" t="s">
        <v>121</v>
      </c>
      <c r="L4" s="556"/>
      <c r="M4" s="556"/>
      <c r="N4" s="557"/>
      <c r="O4" s="558"/>
      <c r="P4" s="559"/>
      <c r="Q4" s="559"/>
      <c r="R4" s="559"/>
      <c r="S4" s="560"/>
      <c r="T4" s="232"/>
      <c r="AB4" s="231"/>
      <c r="AC4" s="231"/>
      <c r="AD4" s="231"/>
      <c r="AE4" s="231"/>
      <c r="AF4" s="231"/>
      <c r="AG4" s="231"/>
      <c r="AH4" s="231"/>
      <c r="AI4" s="231"/>
      <c r="AJ4" s="231"/>
      <c r="AK4" s="231"/>
      <c r="AL4" s="231"/>
      <c r="AM4" s="231"/>
      <c r="AN4" s="231"/>
      <c r="AO4" s="231"/>
      <c r="AP4" s="231"/>
      <c r="AQ4" s="231"/>
    </row>
    <row r="5" spans="1:43" s="230" customFormat="1" ht="16.5" customHeight="1" x14ac:dyDescent="0.2">
      <c r="A5" s="516" t="s">
        <v>100</v>
      </c>
      <c r="B5" s="517"/>
      <c r="C5" s="517"/>
      <c r="D5" s="517"/>
      <c r="E5" s="517"/>
      <c r="F5" s="517"/>
      <c r="G5" s="518">
        <f>Estimation!E1</f>
        <v>0</v>
      </c>
      <c r="H5" s="519"/>
      <c r="I5" s="519"/>
      <c r="J5" s="520"/>
      <c r="K5" s="516" t="s">
        <v>68</v>
      </c>
      <c r="L5" s="517"/>
      <c r="M5" s="517"/>
      <c r="N5" s="527"/>
      <c r="O5" s="528">
        <f>Estimation!E18</f>
        <v>0</v>
      </c>
      <c r="P5" s="529"/>
      <c r="Q5" s="529"/>
      <c r="R5" s="529"/>
      <c r="S5" s="530"/>
      <c r="U5" s="515" t="s">
        <v>287</v>
      </c>
      <c r="V5" s="515"/>
      <c r="W5" s="515"/>
      <c r="X5" s="515"/>
      <c r="Y5" s="515"/>
      <c r="Z5" s="515"/>
      <c r="AA5" s="515"/>
      <c r="AB5" s="231"/>
      <c r="AC5" s="231"/>
      <c r="AD5" s="231"/>
      <c r="AE5" s="231"/>
      <c r="AF5" s="231"/>
      <c r="AG5" s="231"/>
      <c r="AH5" s="231"/>
      <c r="AI5" s="231"/>
      <c r="AJ5" s="231"/>
      <c r="AK5" s="231"/>
      <c r="AL5" s="231"/>
      <c r="AM5" s="231"/>
      <c r="AN5" s="231"/>
      <c r="AO5" s="231"/>
      <c r="AP5" s="231"/>
      <c r="AQ5" s="231"/>
    </row>
    <row r="6" spans="1:43" s="230" customFormat="1" ht="16.5" customHeight="1" x14ac:dyDescent="0.2">
      <c r="A6" s="516" t="s">
        <v>122</v>
      </c>
      <c r="B6" s="517"/>
      <c r="C6" s="517"/>
      <c r="D6" s="517"/>
      <c r="E6" s="517"/>
      <c r="F6" s="517"/>
      <c r="G6" s="518" t="s">
        <v>123</v>
      </c>
      <c r="H6" s="519"/>
      <c r="I6" s="519"/>
      <c r="J6" s="520"/>
      <c r="K6" s="516" t="s">
        <v>124</v>
      </c>
      <c r="L6" s="517"/>
      <c r="M6" s="517"/>
      <c r="N6" s="527"/>
      <c r="O6" s="534">
        <f>Estimation!G210</f>
        <v>0</v>
      </c>
      <c r="P6" s="535"/>
      <c r="Q6" s="535"/>
      <c r="R6" s="535"/>
      <c r="S6" s="536"/>
      <c r="U6" s="515"/>
      <c r="V6" s="515"/>
      <c r="W6" s="515"/>
      <c r="X6" s="515"/>
      <c r="Y6" s="515"/>
      <c r="Z6" s="515"/>
      <c r="AA6" s="515"/>
      <c r="AB6" s="233" t="s">
        <v>123</v>
      </c>
      <c r="AC6" s="234"/>
      <c r="AD6" s="233" t="s">
        <v>123</v>
      </c>
      <c r="AF6" s="231"/>
      <c r="AG6" s="231"/>
      <c r="AH6" s="231"/>
      <c r="AI6" s="231"/>
      <c r="AJ6" s="231"/>
      <c r="AK6" s="231"/>
      <c r="AL6" s="231"/>
      <c r="AM6" s="231"/>
      <c r="AN6" s="231"/>
      <c r="AO6" s="231"/>
      <c r="AP6" s="231"/>
      <c r="AQ6" s="231"/>
    </row>
    <row r="7" spans="1:43" s="230" customFormat="1" ht="16.5" customHeight="1" x14ac:dyDescent="0.2">
      <c r="A7" s="516" t="s">
        <v>125</v>
      </c>
      <c r="B7" s="517"/>
      <c r="C7" s="517"/>
      <c r="D7" s="517"/>
      <c r="E7" s="517"/>
      <c r="F7" s="517"/>
      <c r="G7" s="518" t="s">
        <v>123</v>
      </c>
      <c r="H7" s="519"/>
      <c r="I7" s="519"/>
      <c r="J7" s="520"/>
      <c r="K7" s="521" t="s">
        <v>126</v>
      </c>
      <c r="L7" s="522"/>
      <c r="M7" s="522"/>
      <c r="N7" s="523"/>
      <c r="O7" s="524"/>
      <c r="P7" s="525"/>
      <c r="Q7" s="525"/>
      <c r="R7" s="525"/>
      <c r="S7" s="526"/>
      <c r="U7" s="515"/>
      <c r="V7" s="515"/>
      <c r="W7" s="515"/>
      <c r="X7" s="515"/>
      <c r="Y7" s="515"/>
      <c r="Z7" s="515"/>
      <c r="AA7" s="515"/>
      <c r="AB7" s="234" t="s">
        <v>127</v>
      </c>
      <c r="AC7" s="234"/>
      <c r="AD7" s="234" t="s">
        <v>128</v>
      </c>
      <c r="AF7" s="231"/>
      <c r="AG7" s="231"/>
      <c r="AH7" s="231"/>
      <c r="AI7" s="231"/>
      <c r="AJ7" s="231"/>
      <c r="AK7" s="231"/>
      <c r="AL7" s="231"/>
      <c r="AM7" s="231"/>
      <c r="AN7" s="231"/>
      <c r="AO7" s="231"/>
      <c r="AP7" s="231"/>
      <c r="AQ7" s="231"/>
    </row>
    <row r="8" spans="1:43" s="230" customFormat="1" ht="14.25" customHeight="1" x14ac:dyDescent="0.2">
      <c r="A8" s="561" t="s">
        <v>129</v>
      </c>
      <c r="B8" s="562"/>
      <c r="C8" s="562"/>
      <c r="D8" s="562"/>
      <c r="E8" s="562"/>
      <c r="F8" s="562"/>
      <c r="G8" s="562"/>
      <c r="H8" s="562"/>
      <c r="I8" s="562"/>
      <c r="J8" s="562"/>
      <c r="K8" s="562"/>
      <c r="L8" s="562"/>
      <c r="M8" s="562"/>
      <c r="N8" s="562"/>
      <c r="O8" s="562"/>
      <c r="P8" s="562"/>
      <c r="Q8" s="562"/>
      <c r="R8" s="562"/>
      <c r="S8" s="563"/>
      <c r="AB8" s="234" t="s">
        <v>130</v>
      </c>
      <c r="AC8" s="234"/>
      <c r="AD8" s="234" t="s">
        <v>131</v>
      </c>
      <c r="AF8" s="231"/>
      <c r="AG8" s="231"/>
      <c r="AH8" s="231"/>
      <c r="AI8" s="231"/>
      <c r="AJ8" s="231"/>
      <c r="AK8" s="231"/>
      <c r="AL8" s="231"/>
      <c r="AM8" s="231"/>
      <c r="AN8" s="231"/>
      <c r="AO8" s="231"/>
      <c r="AP8" s="231"/>
      <c r="AQ8" s="231"/>
    </row>
    <row r="9" spans="1:43" ht="12.95" customHeight="1" x14ac:dyDescent="0.25">
      <c r="A9" s="564" t="s">
        <v>132</v>
      </c>
      <c r="B9" s="565"/>
      <c r="C9" s="565"/>
      <c r="D9" s="565"/>
      <c r="E9" s="565"/>
      <c r="F9" s="565"/>
      <c r="G9" s="565"/>
      <c r="H9" s="565"/>
      <c r="I9" s="565"/>
      <c r="J9" s="565"/>
      <c r="K9" s="565"/>
      <c r="L9" s="565"/>
      <c r="M9" s="565"/>
      <c r="N9" s="565"/>
      <c r="O9" s="565"/>
      <c r="P9" s="565"/>
      <c r="Q9" s="565"/>
      <c r="R9" s="565"/>
      <c r="S9" s="566"/>
      <c r="U9" s="514" t="s">
        <v>396</v>
      </c>
      <c r="V9" s="514"/>
      <c r="W9" s="514"/>
      <c r="X9" s="514"/>
      <c r="Y9" s="514"/>
      <c r="Z9" s="514"/>
      <c r="AA9" s="514"/>
      <c r="AB9" s="234" t="s">
        <v>133</v>
      </c>
      <c r="AC9" s="35"/>
      <c r="AD9" s="234" t="s">
        <v>134</v>
      </c>
      <c r="AE9"/>
    </row>
    <row r="10" spans="1:43" ht="12.95" customHeight="1" x14ac:dyDescent="0.25">
      <c r="A10" s="236"/>
      <c r="B10" s="567" t="s">
        <v>135</v>
      </c>
      <c r="C10" s="567"/>
      <c r="D10" s="567"/>
      <c r="E10" s="567"/>
      <c r="F10" s="567"/>
      <c r="G10" s="567"/>
      <c r="H10" s="567"/>
      <c r="I10" s="567"/>
      <c r="J10" s="567"/>
      <c r="K10" s="567"/>
      <c r="L10" s="567"/>
      <c r="M10" s="568" t="s">
        <v>136</v>
      </c>
      <c r="N10" s="568"/>
      <c r="O10" s="568"/>
      <c r="P10" s="568"/>
      <c r="Q10" s="568"/>
      <c r="R10" s="568"/>
      <c r="S10" s="568"/>
      <c r="U10" s="514"/>
      <c r="V10" s="514"/>
      <c r="W10" s="514"/>
      <c r="X10" s="514"/>
      <c r="Y10" s="514"/>
      <c r="Z10" s="514"/>
      <c r="AA10" s="514"/>
    </row>
    <row r="11" spans="1:43" ht="33" customHeight="1" x14ac:dyDescent="0.25">
      <c r="A11" s="569"/>
      <c r="B11" s="570"/>
      <c r="C11" s="570"/>
      <c r="D11" s="570"/>
      <c r="E11" s="570"/>
      <c r="F11" s="570"/>
      <c r="G11" s="570"/>
      <c r="H11" s="570"/>
      <c r="I11" s="570"/>
      <c r="J11" s="570"/>
      <c r="K11" s="570"/>
      <c r="L11" s="570"/>
      <c r="M11" s="570"/>
      <c r="N11" s="570"/>
      <c r="O11" s="570"/>
      <c r="P11" s="570"/>
      <c r="Q11" s="570"/>
      <c r="R11" s="570"/>
      <c r="S11" s="571"/>
      <c r="T11" s="94"/>
      <c r="U11" s="514"/>
      <c r="V11" s="514"/>
      <c r="W11" s="514"/>
      <c r="X11" s="514"/>
      <c r="Y11" s="514"/>
      <c r="Z11" s="514"/>
      <c r="AA11" s="514"/>
      <c r="AB11" s="95"/>
      <c r="AC11" s="95"/>
      <c r="AD11" s="95"/>
      <c r="AE11" s="95"/>
      <c r="AF11" s="95"/>
    </row>
    <row r="12" spans="1:43" ht="36.75" customHeight="1" x14ac:dyDescent="0.25">
      <c r="A12" s="537" t="s">
        <v>137</v>
      </c>
      <c r="B12" s="538"/>
      <c r="C12" s="538"/>
      <c r="D12" s="538"/>
      <c r="E12" s="538"/>
      <c r="F12" s="538"/>
      <c r="G12" s="538"/>
      <c r="H12" s="538"/>
      <c r="I12" s="538"/>
      <c r="J12" s="538"/>
      <c r="K12" s="538"/>
      <c r="L12" s="538"/>
      <c r="M12" s="538"/>
      <c r="N12" s="538"/>
      <c r="O12" s="538"/>
      <c r="P12" s="237"/>
      <c r="Q12" s="539" t="s">
        <v>101</v>
      </c>
      <c r="R12" s="539"/>
      <c r="S12" s="540"/>
      <c r="U12" s="513" t="s">
        <v>288</v>
      </c>
      <c r="V12" s="513"/>
      <c r="W12" s="513"/>
      <c r="X12" s="513"/>
      <c r="Y12" s="513"/>
      <c r="Z12" s="513"/>
      <c r="AA12" s="513"/>
    </row>
    <row r="13" spans="1:43" ht="15" customHeight="1" x14ac:dyDescent="0.25">
      <c r="A13" s="541" t="s">
        <v>138</v>
      </c>
      <c r="B13" s="542"/>
      <c r="C13" s="542"/>
      <c r="D13" s="542"/>
      <c r="E13" s="542"/>
      <c r="F13" s="542"/>
      <c r="G13" s="542"/>
      <c r="H13" s="542"/>
      <c r="I13" s="542"/>
      <c r="J13" s="542"/>
      <c r="K13" s="542"/>
      <c r="L13" s="542"/>
      <c r="M13" s="542"/>
      <c r="N13" s="542"/>
      <c r="O13" s="542"/>
      <c r="P13" s="238"/>
      <c r="Q13" s="543" t="s">
        <v>101</v>
      </c>
      <c r="R13" s="543"/>
      <c r="S13" s="544"/>
      <c r="U13" s="513"/>
      <c r="V13" s="513"/>
      <c r="W13" s="513"/>
      <c r="X13" s="513"/>
      <c r="Y13" s="513"/>
      <c r="Z13" s="513"/>
      <c r="AA13" s="513"/>
    </row>
    <row r="14" spans="1:43" ht="18" customHeight="1" x14ac:dyDescent="0.25">
      <c r="A14" s="531" t="s">
        <v>139</v>
      </c>
      <c r="B14" s="532"/>
      <c r="C14" s="532"/>
      <c r="D14" s="532"/>
      <c r="E14" s="532"/>
      <c r="F14" s="532"/>
      <c r="G14" s="532"/>
      <c r="H14" s="532"/>
      <c r="I14" s="532"/>
      <c r="J14" s="532"/>
      <c r="K14" s="532"/>
      <c r="L14" s="532"/>
      <c r="M14" s="532"/>
      <c r="N14" s="532"/>
      <c r="O14" s="532"/>
      <c r="P14" s="532"/>
      <c r="Q14" s="532"/>
      <c r="R14" s="532"/>
      <c r="S14" s="533"/>
    </row>
    <row r="15" spans="1:43" s="241" customFormat="1" ht="35.25" customHeight="1" x14ac:dyDescent="0.2">
      <c r="A15" s="585" t="s">
        <v>140</v>
      </c>
      <c r="B15" s="586"/>
      <c r="C15" s="586"/>
      <c r="D15" s="586"/>
      <c r="E15" s="586"/>
      <c r="F15" s="586"/>
      <c r="G15" s="586"/>
      <c r="H15" s="586"/>
      <c r="I15" s="239"/>
      <c r="J15" s="240"/>
      <c r="K15" s="239"/>
      <c r="L15" s="587"/>
      <c r="M15" s="587"/>
      <c r="N15" s="587"/>
      <c r="O15" s="587"/>
      <c r="P15" s="587"/>
      <c r="Q15" s="239"/>
      <c r="R15" s="587"/>
      <c r="S15" s="588"/>
      <c r="U15" s="513" t="s">
        <v>289</v>
      </c>
      <c r="V15" s="513"/>
      <c r="W15" s="513"/>
      <c r="X15" s="513"/>
      <c r="Y15" s="513"/>
      <c r="Z15" s="513"/>
      <c r="AA15" s="513"/>
      <c r="AB15" s="242"/>
      <c r="AC15" s="242"/>
      <c r="AD15" s="242"/>
      <c r="AE15" s="242"/>
      <c r="AF15" s="242"/>
      <c r="AG15" s="242"/>
      <c r="AH15" s="242"/>
      <c r="AI15" s="242"/>
      <c r="AJ15" s="242"/>
      <c r="AK15" s="242"/>
      <c r="AL15" s="242"/>
      <c r="AM15" s="242"/>
      <c r="AN15" s="242"/>
      <c r="AO15" s="242"/>
      <c r="AP15" s="242"/>
      <c r="AQ15" s="242"/>
    </row>
    <row r="16" spans="1:43" s="241" customFormat="1" ht="16.5" customHeight="1" x14ac:dyDescent="0.2">
      <c r="A16" s="580" t="s">
        <v>141</v>
      </c>
      <c r="B16" s="581"/>
      <c r="C16" s="581"/>
      <c r="D16" s="581"/>
      <c r="E16" s="581"/>
      <c r="F16" s="581"/>
      <c r="G16" s="582"/>
      <c r="H16" s="582"/>
      <c r="I16" s="243"/>
      <c r="J16" s="244" t="s">
        <v>101</v>
      </c>
      <c r="K16" s="243"/>
      <c r="L16" s="582" t="s">
        <v>142</v>
      </c>
      <c r="M16" s="582"/>
      <c r="N16" s="582"/>
      <c r="O16" s="582"/>
      <c r="P16" s="582"/>
      <c r="Q16" s="245"/>
      <c r="R16" s="583" t="s">
        <v>101</v>
      </c>
      <c r="S16" s="584"/>
      <c r="U16" s="513"/>
      <c r="V16" s="513"/>
      <c r="W16" s="513"/>
      <c r="X16" s="513"/>
      <c r="Y16" s="513"/>
      <c r="Z16" s="513"/>
      <c r="AA16" s="513"/>
      <c r="AB16" s="242"/>
      <c r="AC16" s="242"/>
      <c r="AD16" s="242"/>
      <c r="AE16" s="242"/>
      <c r="AF16" s="242"/>
      <c r="AG16" s="242"/>
      <c r="AH16" s="242"/>
      <c r="AI16" s="242"/>
      <c r="AJ16" s="242"/>
      <c r="AK16" s="242"/>
      <c r="AL16" s="242"/>
      <c r="AM16" s="242"/>
      <c r="AN16" s="242"/>
      <c r="AO16" s="242"/>
      <c r="AP16" s="242"/>
      <c r="AQ16" s="242"/>
    </row>
    <row r="17" spans="1:43" s="241" customFormat="1" ht="30.75" customHeight="1" x14ac:dyDescent="0.2">
      <c r="A17" s="576" t="s">
        <v>276</v>
      </c>
      <c r="B17" s="577"/>
      <c r="C17" s="577"/>
      <c r="D17" s="577"/>
      <c r="E17" s="577"/>
      <c r="F17" s="577"/>
      <c r="G17" s="577"/>
      <c r="H17" s="577"/>
      <c r="I17" s="246"/>
      <c r="J17" s="247"/>
      <c r="K17" s="246"/>
      <c r="L17" s="578"/>
      <c r="M17" s="578"/>
      <c r="N17" s="578"/>
      <c r="O17" s="578"/>
      <c r="P17" s="578"/>
      <c r="Q17" s="246"/>
      <c r="R17" s="578"/>
      <c r="S17" s="579"/>
      <c r="U17" s="513"/>
      <c r="V17" s="513"/>
      <c r="W17" s="513"/>
      <c r="X17" s="513"/>
      <c r="Y17" s="513"/>
      <c r="Z17" s="513"/>
      <c r="AA17" s="513"/>
      <c r="AB17" s="242"/>
      <c r="AC17" s="242"/>
      <c r="AD17" s="242"/>
      <c r="AE17" s="242"/>
      <c r="AF17" s="242"/>
      <c r="AG17" s="242"/>
      <c r="AH17" s="242"/>
      <c r="AI17" s="242"/>
      <c r="AJ17" s="242"/>
      <c r="AK17" s="242"/>
      <c r="AL17" s="242"/>
      <c r="AM17" s="242"/>
      <c r="AN17" s="242"/>
      <c r="AO17" s="242"/>
      <c r="AP17" s="242"/>
      <c r="AQ17" s="242"/>
    </row>
    <row r="18" spans="1:43" s="241" customFormat="1" ht="15" customHeight="1" x14ac:dyDescent="0.2">
      <c r="A18" s="580" t="s">
        <v>275</v>
      </c>
      <c r="B18" s="581"/>
      <c r="C18" s="581"/>
      <c r="D18" s="581"/>
      <c r="E18" s="581"/>
      <c r="F18" s="581"/>
      <c r="G18" s="582"/>
      <c r="H18" s="582"/>
      <c r="I18" s="243"/>
      <c r="J18" s="244" t="s">
        <v>101</v>
      </c>
      <c r="K18" s="243"/>
      <c r="L18" s="582" t="s">
        <v>143</v>
      </c>
      <c r="M18" s="582"/>
      <c r="N18" s="582"/>
      <c r="O18" s="582"/>
      <c r="P18" s="582"/>
      <c r="Q18" s="245"/>
      <c r="R18" s="583" t="s">
        <v>101</v>
      </c>
      <c r="S18" s="584"/>
      <c r="U18" s="513"/>
      <c r="V18" s="513"/>
      <c r="W18" s="513"/>
      <c r="X18" s="513"/>
      <c r="Y18" s="513"/>
      <c r="Z18" s="513"/>
      <c r="AA18" s="513"/>
      <c r="AB18" s="242"/>
      <c r="AC18" s="242"/>
      <c r="AD18" s="242"/>
      <c r="AE18" s="242"/>
      <c r="AF18" s="242"/>
      <c r="AG18" s="242"/>
      <c r="AH18" s="242"/>
      <c r="AI18" s="242"/>
      <c r="AJ18" s="242"/>
      <c r="AK18" s="242"/>
      <c r="AL18" s="242"/>
      <c r="AM18" s="242"/>
      <c r="AN18" s="242"/>
      <c r="AO18" s="242"/>
      <c r="AP18" s="242"/>
      <c r="AQ18" s="242"/>
    </row>
    <row r="19" spans="1:43" s="241" customFormat="1" ht="25.5" customHeight="1" x14ac:dyDescent="0.2">
      <c r="A19" s="576" t="s">
        <v>144</v>
      </c>
      <c r="B19" s="577"/>
      <c r="C19" s="577"/>
      <c r="D19" s="577"/>
      <c r="E19" s="577"/>
      <c r="F19" s="577"/>
      <c r="G19" s="577"/>
      <c r="H19" s="577"/>
      <c r="I19" s="246"/>
      <c r="J19" s="247"/>
      <c r="K19" s="243"/>
      <c r="L19" s="578"/>
      <c r="M19" s="578"/>
      <c r="N19" s="578"/>
      <c r="O19" s="578"/>
      <c r="P19" s="578"/>
      <c r="Q19" s="246"/>
      <c r="R19" s="578"/>
      <c r="S19" s="579"/>
      <c r="AB19" s="242"/>
      <c r="AC19" s="242"/>
      <c r="AD19" s="242"/>
      <c r="AE19" s="242"/>
      <c r="AF19" s="242"/>
      <c r="AG19" s="242"/>
      <c r="AH19" s="242"/>
      <c r="AI19" s="242"/>
      <c r="AJ19" s="242"/>
      <c r="AK19" s="242"/>
      <c r="AL19" s="242"/>
      <c r="AM19" s="242"/>
      <c r="AN19" s="242"/>
      <c r="AO19" s="242"/>
      <c r="AP19" s="242"/>
      <c r="AQ19" s="242"/>
    </row>
    <row r="20" spans="1:43" s="241" customFormat="1" ht="15" customHeight="1" x14ac:dyDescent="0.2">
      <c r="A20" s="580" t="s">
        <v>145</v>
      </c>
      <c r="B20" s="581"/>
      <c r="C20" s="581"/>
      <c r="D20" s="581"/>
      <c r="E20" s="581"/>
      <c r="F20" s="581"/>
      <c r="G20" s="582"/>
      <c r="H20" s="582"/>
      <c r="I20" s="243"/>
      <c r="J20" s="244" t="s">
        <v>101</v>
      </c>
      <c r="K20" s="243"/>
      <c r="L20" s="582" t="s">
        <v>146</v>
      </c>
      <c r="M20" s="582"/>
      <c r="N20" s="582"/>
      <c r="O20" s="582"/>
      <c r="P20" s="582"/>
      <c r="Q20" s="248"/>
      <c r="R20" s="583" t="s">
        <v>101</v>
      </c>
      <c r="S20" s="584"/>
      <c r="U20" s="575"/>
      <c r="V20" s="575"/>
      <c r="W20" s="575"/>
      <c r="X20" s="575"/>
      <c r="Y20" s="575"/>
      <c r="Z20" s="575"/>
      <c r="AA20" s="575"/>
      <c r="AB20" s="242"/>
      <c r="AC20" s="242"/>
      <c r="AD20" s="242"/>
      <c r="AE20" s="242"/>
      <c r="AF20" s="242"/>
      <c r="AG20" s="242"/>
      <c r="AH20" s="242"/>
      <c r="AI20" s="242"/>
      <c r="AJ20" s="242"/>
      <c r="AK20" s="242"/>
      <c r="AL20" s="242"/>
      <c r="AM20" s="242"/>
      <c r="AN20" s="242"/>
      <c r="AO20" s="242"/>
      <c r="AP20" s="242"/>
      <c r="AQ20" s="242"/>
    </row>
    <row r="21" spans="1:43" s="241" customFormat="1" ht="27.75" customHeight="1" x14ac:dyDescent="0.2">
      <c r="A21" s="597"/>
      <c r="B21" s="598"/>
      <c r="C21" s="598"/>
      <c r="D21" s="598"/>
      <c r="E21" s="598"/>
      <c r="F21" s="598"/>
      <c r="G21" s="598"/>
      <c r="H21" s="598"/>
      <c r="I21" s="249"/>
      <c r="J21" s="250"/>
      <c r="K21" s="243"/>
      <c r="L21" s="599"/>
      <c r="M21" s="599"/>
      <c r="N21" s="599"/>
      <c r="O21" s="599"/>
      <c r="P21" s="599"/>
      <c r="Q21" s="251"/>
      <c r="R21" s="600"/>
      <c r="S21" s="601"/>
      <c r="AB21" s="242"/>
      <c r="AC21" s="242"/>
      <c r="AD21" s="242"/>
      <c r="AE21" s="242"/>
      <c r="AF21" s="242"/>
      <c r="AG21" s="242"/>
      <c r="AH21" s="242"/>
      <c r="AI21" s="242"/>
      <c r="AJ21" s="242"/>
      <c r="AK21" s="242"/>
      <c r="AL21" s="242"/>
      <c r="AM21" s="242"/>
      <c r="AN21" s="242"/>
      <c r="AO21" s="242"/>
      <c r="AP21" s="242"/>
      <c r="AQ21" s="242"/>
    </row>
    <row r="22" spans="1:43" s="241" customFormat="1" ht="15" customHeight="1" x14ac:dyDescent="0.2">
      <c r="A22" s="611" t="s">
        <v>147</v>
      </c>
      <c r="B22" s="612"/>
      <c r="C22" s="612"/>
      <c r="D22" s="612"/>
      <c r="E22" s="612"/>
      <c r="F22" s="612"/>
      <c r="G22" s="612"/>
      <c r="H22" s="612"/>
      <c r="I22" s="252"/>
      <c r="J22" s="253" t="s">
        <v>101</v>
      </c>
      <c r="K22" s="254"/>
      <c r="L22" s="613" t="s">
        <v>148</v>
      </c>
      <c r="M22" s="613"/>
      <c r="N22" s="613"/>
      <c r="O22" s="613"/>
      <c r="P22" s="613"/>
      <c r="Q22" s="255"/>
      <c r="R22" s="614" t="s">
        <v>101</v>
      </c>
      <c r="S22" s="615"/>
      <c r="AB22" s="242"/>
      <c r="AC22" s="242"/>
      <c r="AD22" s="242"/>
      <c r="AE22" s="242"/>
      <c r="AF22" s="242"/>
      <c r="AG22" s="242"/>
      <c r="AH22" s="242"/>
      <c r="AI22" s="242"/>
      <c r="AJ22" s="242"/>
      <c r="AK22" s="242"/>
      <c r="AL22" s="242"/>
      <c r="AM22" s="242"/>
      <c r="AN22" s="242"/>
      <c r="AO22" s="242"/>
      <c r="AP22" s="242"/>
      <c r="AQ22" s="242"/>
    </row>
    <row r="23" spans="1:43" s="241" customFormat="1" ht="17.25" customHeight="1" x14ac:dyDescent="0.2">
      <c r="A23" s="602" t="s">
        <v>149</v>
      </c>
      <c r="B23" s="603"/>
      <c r="C23" s="603"/>
      <c r="D23" s="603"/>
      <c r="E23" s="603"/>
      <c r="F23" s="603"/>
      <c r="G23" s="603"/>
      <c r="H23" s="603"/>
      <c r="I23" s="603"/>
      <c r="J23" s="603"/>
      <c r="K23" s="603"/>
      <c r="L23" s="603"/>
      <c r="M23" s="603"/>
      <c r="N23" s="603"/>
      <c r="O23" s="603"/>
      <c r="P23" s="603"/>
      <c r="Q23" s="603"/>
      <c r="R23" s="603"/>
      <c r="S23" s="604"/>
      <c r="AB23" s="242"/>
      <c r="AC23" s="242"/>
      <c r="AD23" s="242"/>
      <c r="AE23" s="242"/>
      <c r="AF23" s="242"/>
      <c r="AG23" s="242"/>
      <c r="AH23" s="242"/>
      <c r="AI23" s="242"/>
      <c r="AJ23" s="242"/>
      <c r="AK23" s="242"/>
      <c r="AL23" s="242"/>
      <c r="AM23" s="242"/>
      <c r="AN23" s="242"/>
      <c r="AO23" s="242"/>
      <c r="AP23" s="242"/>
      <c r="AQ23" s="242"/>
    </row>
    <row r="24" spans="1:43" s="230" customFormat="1" ht="14.25" customHeight="1" x14ac:dyDescent="0.2">
      <c r="A24" s="605" t="s">
        <v>150</v>
      </c>
      <c r="B24" s="606"/>
      <c r="C24" s="606"/>
      <c r="D24" s="607"/>
      <c r="E24" s="606" t="s">
        <v>290</v>
      </c>
      <c r="F24" s="606"/>
      <c r="G24" s="606"/>
      <c r="H24" s="606"/>
      <c r="I24" s="606"/>
      <c r="J24" s="606"/>
      <c r="K24" s="606"/>
      <c r="L24" s="606"/>
      <c r="M24" s="606"/>
      <c r="N24" s="606"/>
      <c r="O24" s="606"/>
      <c r="P24" s="606"/>
      <c r="Q24" s="606"/>
      <c r="R24" s="606"/>
      <c r="S24" s="607"/>
      <c r="U24" s="505" t="s">
        <v>291</v>
      </c>
      <c r="V24" s="505"/>
      <c r="W24" s="505"/>
      <c r="X24" s="505"/>
      <c r="Y24" s="505"/>
      <c r="Z24" s="505"/>
      <c r="AA24" s="505"/>
      <c r="AB24" s="231"/>
      <c r="AC24" s="231"/>
      <c r="AD24" s="231"/>
      <c r="AE24" s="231"/>
      <c r="AF24" s="231"/>
      <c r="AG24" s="231"/>
      <c r="AH24" s="231"/>
      <c r="AI24" s="231"/>
      <c r="AJ24" s="231"/>
      <c r="AK24" s="231"/>
      <c r="AL24" s="231"/>
      <c r="AM24" s="231"/>
      <c r="AN24" s="231"/>
      <c r="AO24" s="231"/>
      <c r="AP24" s="231"/>
      <c r="AQ24" s="231"/>
    </row>
    <row r="25" spans="1:43" s="230" customFormat="1" ht="61.5" customHeight="1" x14ac:dyDescent="0.2">
      <c r="A25" s="608" t="s">
        <v>292</v>
      </c>
      <c r="B25" s="616"/>
      <c r="C25" s="616"/>
      <c r="D25" s="616"/>
      <c r="E25" s="616"/>
      <c r="F25" s="616"/>
      <c r="G25" s="616"/>
      <c r="H25" s="608" t="s">
        <v>395</v>
      </c>
      <c r="I25" s="616"/>
      <c r="J25" s="358"/>
      <c r="K25" s="357"/>
      <c r="L25" s="356" t="s">
        <v>76</v>
      </c>
      <c r="M25" s="356" t="s">
        <v>77</v>
      </c>
      <c r="N25" s="356" t="s">
        <v>78</v>
      </c>
      <c r="O25" s="356" t="s">
        <v>79</v>
      </c>
      <c r="P25" s="356" t="s">
        <v>80</v>
      </c>
      <c r="Q25" s="608" t="s">
        <v>151</v>
      </c>
      <c r="R25" s="609"/>
      <c r="S25" s="610"/>
      <c r="U25" s="505"/>
      <c r="V25" s="505"/>
      <c r="W25" s="505"/>
      <c r="X25" s="505"/>
      <c r="Y25" s="505"/>
      <c r="Z25" s="505"/>
      <c r="AA25" s="505"/>
      <c r="AB25" s="231"/>
      <c r="AC25" s="231"/>
      <c r="AD25" s="242"/>
      <c r="AE25" s="231"/>
      <c r="AF25" s="231"/>
      <c r="AG25" s="231"/>
      <c r="AH25" s="231"/>
      <c r="AI25" s="231"/>
      <c r="AJ25" s="231"/>
      <c r="AK25" s="231"/>
      <c r="AL25" s="231"/>
      <c r="AM25" s="231"/>
      <c r="AN25" s="231"/>
      <c r="AO25" s="231"/>
      <c r="AP25" s="231"/>
      <c r="AQ25" s="231"/>
    </row>
    <row r="26" spans="1:43" s="241" customFormat="1" ht="12.95" customHeight="1" x14ac:dyDescent="0.2">
      <c r="A26" s="506" t="s">
        <v>152</v>
      </c>
      <c r="B26" s="507"/>
      <c r="C26" s="507"/>
      <c r="D26" s="508"/>
      <c r="E26" s="617"/>
      <c r="F26" s="618"/>
      <c r="G26" s="618"/>
      <c r="H26" s="589"/>
      <c r="I26" s="590"/>
      <c r="J26" s="512" t="s">
        <v>293</v>
      </c>
      <c r="K26" s="484"/>
      <c r="L26" s="280">
        <f>Estimation!AF22</f>
        <v>0</v>
      </c>
      <c r="M26" s="280">
        <f>Estimation!AH22</f>
        <v>0</v>
      </c>
      <c r="N26" s="280">
        <f>Estimation!AJ22</f>
        <v>0</v>
      </c>
      <c r="O26" s="280">
        <f>Estimation!AL22</f>
        <v>0</v>
      </c>
      <c r="P26" s="280">
        <f>Estimation!AN22</f>
        <v>0</v>
      </c>
      <c r="Q26" s="485">
        <f t="shared" ref="Q26:Q35" si="0">SUM(L26:P26)</f>
        <v>0</v>
      </c>
      <c r="R26" s="485"/>
      <c r="S26" s="485"/>
      <c r="U26" s="505"/>
      <c r="V26" s="505"/>
      <c r="W26" s="505"/>
      <c r="X26" s="505"/>
      <c r="Y26" s="505"/>
      <c r="Z26" s="505"/>
      <c r="AA26" s="505"/>
      <c r="AB26" s="242"/>
      <c r="AC26" s="242"/>
      <c r="AD26" s="242"/>
      <c r="AE26" s="242"/>
      <c r="AF26" s="242"/>
      <c r="AG26" s="242"/>
      <c r="AH26" s="242"/>
      <c r="AI26" s="242"/>
      <c r="AJ26" s="242"/>
      <c r="AK26" s="242"/>
      <c r="AL26" s="242"/>
      <c r="AM26" s="242"/>
      <c r="AN26" s="242"/>
      <c r="AO26" s="242"/>
      <c r="AP26" s="242"/>
      <c r="AQ26" s="242"/>
    </row>
    <row r="27" spans="1:43" s="241" customFormat="1" ht="14.25" customHeight="1" x14ac:dyDescent="0.2">
      <c r="A27" s="509"/>
      <c r="B27" s="510"/>
      <c r="C27" s="510"/>
      <c r="D27" s="511"/>
      <c r="E27" s="619"/>
      <c r="F27" s="620"/>
      <c r="G27" s="620"/>
      <c r="H27" s="591"/>
      <c r="I27" s="592"/>
      <c r="J27" s="512" t="s">
        <v>6</v>
      </c>
      <c r="K27" s="484"/>
      <c r="L27" s="280">
        <f>Estimation!AF69</f>
        <v>0</v>
      </c>
      <c r="M27" s="280">
        <f>Estimation!AH69</f>
        <v>0</v>
      </c>
      <c r="N27" s="280">
        <f>Estimation!AJ69</f>
        <v>0</v>
      </c>
      <c r="O27" s="280">
        <f>Estimation!AL69</f>
        <v>0</v>
      </c>
      <c r="P27" s="280">
        <f>Estimation!AN69</f>
        <v>0</v>
      </c>
      <c r="Q27" s="485">
        <f t="shared" si="0"/>
        <v>0</v>
      </c>
      <c r="R27" s="485"/>
      <c r="S27" s="485"/>
      <c r="U27" s="505"/>
      <c r="V27" s="505"/>
      <c r="W27" s="505"/>
      <c r="X27" s="505"/>
      <c r="Y27" s="505"/>
      <c r="Z27" s="505"/>
      <c r="AA27" s="505"/>
      <c r="AB27" s="242"/>
      <c r="AC27" s="242"/>
      <c r="AD27" s="242"/>
      <c r="AE27" s="242"/>
      <c r="AF27" s="242"/>
      <c r="AG27" s="242"/>
      <c r="AH27" s="242"/>
      <c r="AI27" s="242"/>
      <c r="AJ27" s="242"/>
      <c r="AK27" s="242"/>
      <c r="AL27" s="242"/>
      <c r="AM27" s="242"/>
      <c r="AN27" s="242"/>
      <c r="AO27" s="242"/>
      <c r="AP27" s="242"/>
      <c r="AQ27" s="242"/>
    </row>
    <row r="28" spans="1:43" s="241" customFormat="1" ht="14.25" customHeight="1" outlineLevel="1" x14ac:dyDescent="0.2">
      <c r="A28" s="506" t="s">
        <v>294</v>
      </c>
      <c r="B28" s="507"/>
      <c r="C28" s="507"/>
      <c r="D28" s="508"/>
      <c r="E28" s="621"/>
      <c r="F28" s="622"/>
      <c r="G28" s="622"/>
      <c r="H28" s="593"/>
      <c r="I28" s="594"/>
      <c r="J28" s="512" t="s">
        <v>293</v>
      </c>
      <c r="K28" s="484"/>
      <c r="L28" s="280">
        <f>Estimation!AF24</f>
        <v>0</v>
      </c>
      <c r="M28" s="280">
        <f>Estimation!AH24</f>
        <v>0</v>
      </c>
      <c r="N28" s="280">
        <f>Estimation!AJ24</f>
        <v>0</v>
      </c>
      <c r="O28" s="280">
        <f>Estimation!AL24</f>
        <v>0</v>
      </c>
      <c r="P28" s="280">
        <f>Estimation!AN24</f>
        <v>0</v>
      </c>
      <c r="Q28" s="485">
        <f t="shared" si="0"/>
        <v>0</v>
      </c>
      <c r="R28" s="485"/>
      <c r="S28" s="485"/>
      <c r="U28" s="505"/>
      <c r="V28" s="505"/>
      <c r="W28" s="505"/>
      <c r="X28" s="505"/>
      <c r="Y28" s="505"/>
      <c r="Z28" s="505"/>
      <c r="AA28" s="505"/>
      <c r="AB28" s="242"/>
      <c r="AC28" s="242"/>
      <c r="AD28" s="242"/>
      <c r="AE28" s="242"/>
      <c r="AF28" s="242"/>
      <c r="AG28" s="242"/>
      <c r="AH28" s="242"/>
      <c r="AI28" s="242"/>
      <c r="AJ28" s="242"/>
      <c r="AK28" s="242"/>
      <c r="AL28" s="242"/>
      <c r="AM28" s="242"/>
      <c r="AN28" s="242"/>
      <c r="AO28" s="242"/>
      <c r="AP28" s="242"/>
      <c r="AQ28" s="242"/>
    </row>
    <row r="29" spans="1:43" s="241" customFormat="1" ht="14.25" customHeight="1" outlineLevel="1" x14ac:dyDescent="0.2">
      <c r="A29" s="509"/>
      <c r="B29" s="510"/>
      <c r="C29" s="510"/>
      <c r="D29" s="511"/>
      <c r="E29" s="623"/>
      <c r="F29" s="624"/>
      <c r="G29" s="624"/>
      <c r="H29" s="595"/>
      <c r="I29" s="596"/>
      <c r="J29" s="512" t="s">
        <v>6</v>
      </c>
      <c r="K29" s="484"/>
      <c r="L29" s="280">
        <f>Estimation!AF70</f>
        <v>0</v>
      </c>
      <c r="M29" s="280">
        <f>Estimation!AH70</f>
        <v>0</v>
      </c>
      <c r="N29" s="280">
        <f>Estimation!AJ70</f>
        <v>0</v>
      </c>
      <c r="O29" s="280">
        <f>Estimation!AL70</f>
        <v>0</v>
      </c>
      <c r="P29" s="280">
        <f>Estimation!AN70</f>
        <v>0</v>
      </c>
      <c r="Q29" s="485">
        <f t="shared" si="0"/>
        <v>0</v>
      </c>
      <c r="R29" s="485"/>
      <c r="S29" s="485"/>
      <c r="U29" s="505"/>
      <c r="V29" s="505"/>
      <c r="W29" s="505"/>
      <c r="X29" s="505"/>
      <c r="Y29" s="505"/>
      <c r="Z29" s="505"/>
      <c r="AA29" s="505"/>
      <c r="AB29" s="242"/>
      <c r="AC29" s="242"/>
      <c r="AD29" s="242"/>
      <c r="AE29" s="242"/>
      <c r="AF29" s="242"/>
      <c r="AG29" s="242"/>
      <c r="AH29" s="242"/>
      <c r="AI29" s="242"/>
      <c r="AJ29" s="242"/>
      <c r="AK29" s="242"/>
      <c r="AL29" s="242"/>
      <c r="AM29" s="242"/>
      <c r="AN29" s="242"/>
      <c r="AO29" s="242"/>
      <c r="AP29" s="242"/>
      <c r="AQ29" s="242"/>
    </row>
    <row r="30" spans="1:43" s="241" customFormat="1" ht="14.25" customHeight="1" outlineLevel="1" x14ac:dyDescent="0.2">
      <c r="A30" s="506" t="s">
        <v>296</v>
      </c>
      <c r="B30" s="507"/>
      <c r="C30" s="507"/>
      <c r="D30" s="508"/>
      <c r="E30" s="625"/>
      <c r="F30" s="626"/>
      <c r="G30" s="626"/>
      <c r="H30" s="593"/>
      <c r="I30" s="594"/>
      <c r="J30" s="512" t="s">
        <v>293</v>
      </c>
      <c r="K30" s="484"/>
      <c r="L30" s="280">
        <f>Estimation!AF26</f>
        <v>0</v>
      </c>
      <c r="M30" s="280">
        <f>Estimation!AH26</f>
        <v>0</v>
      </c>
      <c r="N30" s="280">
        <f>Estimation!AJ26</f>
        <v>0</v>
      </c>
      <c r="O30" s="280">
        <f>Estimation!AL26</f>
        <v>0</v>
      </c>
      <c r="P30" s="280">
        <f>Estimation!AN26</f>
        <v>0</v>
      </c>
      <c r="Q30" s="485">
        <f t="shared" si="0"/>
        <v>0</v>
      </c>
      <c r="R30" s="485"/>
      <c r="S30" s="485"/>
      <c r="U30" s="505"/>
      <c r="V30" s="505"/>
      <c r="W30" s="505"/>
      <c r="X30" s="505"/>
      <c r="Y30" s="505"/>
      <c r="Z30" s="505"/>
      <c r="AA30" s="505"/>
      <c r="AB30" s="242"/>
      <c r="AC30" s="242"/>
      <c r="AD30" s="242"/>
      <c r="AE30" s="242"/>
      <c r="AF30" s="242"/>
      <c r="AG30" s="242"/>
      <c r="AH30" s="242"/>
      <c r="AI30" s="242"/>
      <c r="AJ30" s="242"/>
      <c r="AK30" s="242"/>
      <c r="AL30" s="242"/>
      <c r="AM30" s="242"/>
      <c r="AN30" s="242"/>
      <c r="AO30" s="242"/>
      <c r="AP30" s="242"/>
      <c r="AQ30" s="242"/>
    </row>
    <row r="31" spans="1:43" s="241" customFormat="1" ht="14.25" customHeight="1" outlineLevel="1" x14ac:dyDescent="0.2">
      <c r="A31" s="509"/>
      <c r="B31" s="510"/>
      <c r="C31" s="510"/>
      <c r="D31" s="511"/>
      <c r="E31" s="627"/>
      <c r="F31" s="628"/>
      <c r="G31" s="628"/>
      <c r="H31" s="595"/>
      <c r="I31" s="596"/>
      <c r="J31" s="512" t="s">
        <v>6</v>
      </c>
      <c r="K31" s="484"/>
      <c r="L31" s="280">
        <f>Estimation!AF71</f>
        <v>0</v>
      </c>
      <c r="M31" s="280">
        <f>Estimation!AH71</f>
        <v>0</v>
      </c>
      <c r="N31" s="280">
        <f>Estimation!AJ71</f>
        <v>0</v>
      </c>
      <c r="O31" s="280">
        <f>Estimation!AL71</f>
        <v>0</v>
      </c>
      <c r="P31" s="280">
        <f>Estimation!AN71</f>
        <v>0</v>
      </c>
      <c r="Q31" s="485">
        <f t="shared" si="0"/>
        <v>0</v>
      </c>
      <c r="R31" s="485"/>
      <c r="S31" s="485"/>
      <c r="U31" s="257"/>
      <c r="V31" s="257"/>
      <c r="AB31" s="242"/>
      <c r="AC31" s="242"/>
      <c r="AD31" s="242"/>
      <c r="AE31" s="242"/>
      <c r="AF31" s="242"/>
      <c r="AG31" s="242"/>
      <c r="AH31" s="242"/>
      <c r="AI31" s="242"/>
      <c r="AJ31" s="242"/>
      <c r="AK31" s="242"/>
      <c r="AL31" s="242"/>
      <c r="AM31" s="242"/>
      <c r="AN31" s="242"/>
      <c r="AO31" s="242"/>
      <c r="AP31" s="242"/>
      <c r="AQ31" s="242"/>
    </row>
    <row r="32" spans="1:43" s="241" customFormat="1" ht="14.25" customHeight="1" outlineLevel="1" x14ac:dyDescent="0.2">
      <c r="A32" s="506" t="s">
        <v>297</v>
      </c>
      <c r="B32" s="507"/>
      <c r="C32" s="507"/>
      <c r="D32" s="508"/>
      <c r="E32" s="625"/>
      <c r="F32" s="626"/>
      <c r="G32" s="626"/>
      <c r="H32" s="593"/>
      <c r="I32" s="594"/>
      <c r="J32" s="512" t="s">
        <v>293</v>
      </c>
      <c r="K32" s="484"/>
      <c r="L32" s="280">
        <f>Estimation!AF28</f>
        <v>0</v>
      </c>
      <c r="M32" s="280">
        <f>Estimation!AH28</f>
        <v>0</v>
      </c>
      <c r="N32" s="280">
        <f>Estimation!AJ28</f>
        <v>0</v>
      </c>
      <c r="O32" s="280">
        <f>Estimation!AL28</f>
        <v>0</v>
      </c>
      <c r="P32" s="280">
        <f>Estimation!AN28</f>
        <v>0</v>
      </c>
      <c r="Q32" s="485">
        <f t="shared" si="0"/>
        <v>0</v>
      </c>
      <c r="R32" s="485"/>
      <c r="S32" s="485"/>
      <c r="U32" s="257"/>
      <c r="V32" s="257"/>
      <c r="AB32" s="242"/>
      <c r="AC32" s="242"/>
      <c r="AD32" s="242"/>
      <c r="AE32" s="242"/>
      <c r="AF32" s="242"/>
      <c r="AG32" s="242"/>
      <c r="AH32" s="242"/>
      <c r="AI32" s="242"/>
      <c r="AJ32" s="242"/>
      <c r="AK32" s="242"/>
      <c r="AL32" s="242"/>
      <c r="AM32" s="242"/>
      <c r="AN32" s="242"/>
      <c r="AO32" s="242"/>
      <c r="AP32" s="242"/>
      <c r="AQ32" s="242"/>
    </row>
    <row r="33" spans="1:43" s="241" customFormat="1" ht="14.25" customHeight="1" outlineLevel="1" x14ac:dyDescent="0.2">
      <c r="A33" s="509"/>
      <c r="B33" s="510"/>
      <c r="C33" s="510"/>
      <c r="D33" s="511"/>
      <c r="E33" s="627"/>
      <c r="F33" s="628"/>
      <c r="G33" s="628"/>
      <c r="H33" s="595"/>
      <c r="I33" s="596"/>
      <c r="J33" s="512" t="s">
        <v>6</v>
      </c>
      <c r="K33" s="484"/>
      <c r="L33" s="280">
        <f>Estimation!AF72</f>
        <v>0</v>
      </c>
      <c r="M33" s="280">
        <f>Estimation!AH72</f>
        <v>0</v>
      </c>
      <c r="N33" s="280">
        <f>Estimation!AJ72</f>
        <v>0</v>
      </c>
      <c r="O33" s="280">
        <f>Estimation!AL72</f>
        <v>0</v>
      </c>
      <c r="P33" s="280">
        <f>Estimation!AN72</f>
        <v>0</v>
      </c>
      <c r="Q33" s="485">
        <f t="shared" si="0"/>
        <v>0</v>
      </c>
      <c r="R33" s="485"/>
      <c r="S33" s="485"/>
      <c r="U33" s="257"/>
      <c r="V33" s="257"/>
      <c r="AB33" s="242"/>
      <c r="AC33" s="242"/>
      <c r="AD33" s="242"/>
      <c r="AE33" s="242"/>
      <c r="AF33" s="242"/>
      <c r="AG33" s="242"/>
      <c r="AH33" s="242"/>
      <c r="AI33" s="242"/>
      <c r="AJ33" s="242"/>
      <c r="AK33" s="242"/>
      <c r="AL33" s="242"/>
      <c r="AM33" s="242"/>
      <c r="AN33" s="242"/>
      <c r="AO33" s="242"/>
      <c r="AP33" s="242"/>
      <c r="AQ33" s="242"/>
    </row>
    <row r="34" spans="1:43" s="241" customFormat="1" ht="14.25" customHeight="1" outlineLevel="1" x14ac:dyDescent="0.2">
      <c r="A34" s="506" t="s">
        <v>298</v>
      </c>
      <c r="B34" s="507"/>
      <c r="C34" s="507"/>
      <c r="D34" s="508"/>
      <c r="E34" s="625"/>
      <c r="F34" s="626"/>
      <c r="G34" s="626"/>
      <c r="H34" s="593"/>
      <c r="I34" s="594"/>
      <c r="J34" s="512" t="s">
        <v>293</v>
      </c>
      <c r="K34" s="484"/>
      <c r="L34" s="280">
        <f>Estimation!AF30</f>
        <v>0</v>
      </c>
      <c r="M34" s="280">
        <f>Estimation!AH30</f>
        <v>0</v>
      </c>
      <c r="N34" s="280">
        <f>Estimation!AJ30</f>
        <v>0</v>
      </c>
      <c r="O34" s="280">
        <f>Estimation!AL30</f>
        <v>0</v>
      </c>
      <c r="P34" s="280">
        <f>Estimation!AN30</f>
        <v>0</v>
      </c>
      <c r="Q34" s="485">
        <f t="shared" si="0"/>
        <v>0</v>
      </c>
      <c r="R34" s="485"/>
      <c r="S34" s="485"/>
      <c r="U34" s="257"/>
      <c r="V34" s="257"/>
      <c r="AB34" s="242"/>
      <c r="AC34" s="242"/>
      <c r="AD34" s="242"/>
      <c r="AE34" s="242"/>
      <c r="AF34" s="242"/>
      <c r="AG34" s="242"/>
      <c r="AH34" s="242"/>
      <c r="AI34" s="242"/>
      <c r="AJ34" s="242"/>
      <c r="AK34" s="242"/>
      <c r="AL34" s="242"/>
      <c r="AM34" s="242"/>
      <c r="AN34" s="242"/>
      <c r="AO34" s="242"/>
      <c r="AP34" s="242"/>
      <c r="AQ34" s="242"/>
    </row>
    <row r="35" spans="1:43" s="241" customFormat="1" ht="14.25" customHeight="1" outlineLevel="1" x14ac:dyDescent="0.2">
      <c r="A35" s="509"/>
      <c r="B35" s="510"/>
      <c r="C35" s="510"/>
      <c r="D35" s="511"/>
      <c r="E35" s="627"/>
      <c r="F35" s="628"/>
      <c r="G35" s="628"/>
      <c r="H35" s="595"/>
      <c r="I35" s="596"/>
      <c r="J35" s="512" t="s">
        <v>6</v>
      </c>
      <c r="K35" s="484"/>
      <c r="L35" s="280">
        <f>Estimation!AF73</f>
        <v>0</v>
      </c>
      <c r="M35" s="280">
        <f>Estimation!AH73</f>
        <v>0</v>
      </c>
      <c r="N35" s="280">
        <f>Estimation!AJ73</f>
        <v>0</v>
      </c>
      <c r="O35" s="280">
        <f>Estimation!AL73</f>
        <v>0</v>
      </c>
      <c r="P35" s="280">
        <f>Estimation!AN73</f>
        <v>0</v>
      </c>
      <c r="Q35" s="485">
        <f t="shared" si="0"/>
        <v>0</v>
      </c>
      <c r="R35" s="485"/>
      <c r="S35" s="485"/>
      <c r="U35" s="257"/>
      <c r="V35" s="257"/>
      <c r="AB35" s="242"/>
      <c r="AC35" s="242"/>
      <c r="AD35" s="242"/>
      <c r="AE35" s="242"/>
      <c r="AF35" s="242"/>
      <c r="AG35" s="242"/>
      <c r="AH35" s="242"/>
      <c r="AI35" s="242"/>
      <c r="AJ35" s="242"/>
      <c r="AK35" s="242"/>
      <c r="AL35" s="242"/>
      <c r="AM35" s="242"/>
      <c r="AN35" s="242"/>
      <c r="AO35" s="242"/>
      <c r="AP35" s="242"/>
      <c r="AQ35" s="242"/>
    </row>
    <row r="36" spans="1:43" s="241" customFormat="1" ht="3.6" customHeight="1" x14ac:dyDescent="0.2">
      <c r="A36" s="258"/>
      <c r="B36" s="259"/>
      <c r="C36" s="259"/>
      <c r="D36" s="260"/>
      <c r="E36" s="289"/>
      <c r="F36" s="289"/>
      <c r="G36" s="289"/>
      <c r="H36" s="291"/>
      <c r="I36" s="290"/>
      <c r="J36" s="261"/>
      <c r="K36" s="262"/>
      <c r="L36" s="279"/>
      <c r="M36" s="279"/>
      <c r="N36" s="279"/>
      <c r="O36" s="279"/>
      <c r="P36" s="279"/>
      <c r="Q36" s="485"/>
      <c r="R36" s="485"/>
      <c r="S36" s="485"/>
      <c r="U36" s="257"/>
      <c r="V36" s="257"/>
      <c r="AB36" s="242"/>
      <c r="AC36" s="242"/>
      <c r="AD36" s="242"/>
      <c r="AE36" s="242"/>
      <c r="AF36" s="242"/>
      <c r="AG36" s="242"/>
      <c r="AH36" s="242"/>
      <c r="AI36" s="242"/>
      <c r="AJ36" s="242"/>
      <c r="AK36" s="242"/>
      <c r="AL36" s="242"/>
      <c r="AM36" s="242"/>
      <c r="AN36" s="242"/>
      <c r="AO36" s="242"/>
      <c r="AP36" s="242"/>
      <c r="AQ36" s="242"/>
    </row>
    <row r="37" spans="1:43" s="241" customFormat="1" ht="14.25" hidden="1" customHeight="1" outlineLevel="1" x14ac:dyDescent="0.2">
      <c r="A37" s="629" t="s">
        <v>299</v>
      </c>
      <c r="B37" s="630"/>
      <c r="C37" s="630"/>
      <c r="D37" s="631"/>
      <c r="E37" s="625" t="s">
        <v>295</v>
      </c>
      <c r="F37" s="626"/>
      <c r="G37" s="626"/>
      <c r="H37" s="593"/>
      <c r="I37" s="594"/>
      <c r="J37" s="512" t="s">
        <v>293</v>
      </c>
      <c r="K37" s="484"/>
      <c r="L37" s="279"/>
      <c r="M37" s="279"/>
      <c r="N37" s="279"/>
      <c r="O37" s="279"/>
      <c r="P37" s="279"/>
      <c r="Q37" s="485">
        <f t="shared" ref="Q37:Q44" si="1">SUM(L37:P37)</f>
        <v>0</v>
      </c>
      <c r="R37" s="485"/>
      <c r="S37" s="485"/>
      <c r="U37" s="257"/>
      <c r="V37" s="257"/>
      <c r="AB37" s="242"/>
      <c r="AC37" s="242"/>
      <c r="AD37" s="242"/>
      <c r="AE37" s="242"/>
      <c r="AF37" s="242"/>
      <c r="AG37" s="242"/>
      <c r="AH37" s="242"/>
      <c r="AI37" s="242"/>
      <c r="AJ37" s="242"/>
      <c r="AK37" s="242"/>
      <c r="AL37" s="242"/>
      <c r="AM37" s="242"/>
      <c r="AN37" s="242"/>
      <c r="AO37" s="242"/>
      <c r="AP37" s="242"/>
      <c r="AQ37" s="242"/>
    </row>
    <row r="38" spans="1:43" s="241" customFormat="1" ht="14.25" hidden="1" customHeight="1" outlineLevel="1" x14ac:dyDescent="0.2">
      <c r="A38" s="632"/>
      <c r="B38" s="633"/>
      <c r="C38" s="633"/>
      <c r="D38" s="634"/>
      <c r="E38" s="627"/>
      <c r="F38" s="628"/>
      <c r="G38" s="628"/>
      <c r="H38" s="595"/>
      <c r="I38" s="596"/>
      <c r="J38" s="512" t="s">
        <v>6</v>
      </c>
      <c r="K38" s="484"/>
      <c r="L38" s="279"/>
      <c r="M38" s="279"/>
      <c r="N38" s="279"/>
      <c r="O38" s="279"/>
      <c r="P38" s="279"/>
      <c r="Q38" s="485">
        <f t="shared" si="1"/>
        <v>0</v>
      </c>
      <c r="R38" s="485"/>
      <c r="S38" s="485"/>
      <c r="U38" s="257"/>
      <c r="V38" s="257"/>
      <c r="AB38" s="242"/>
      <c r="AC38" s="242"/>
      <c r="AD38" s="242"/>
      <c r="AE38" s="242"/>
      <c r="AF38" s="242"/>
      <c r="AG38" s="242"/>
      <c r="AH38" s="242"/>
      <c r="AI38" s="242"/>
      <c r="AJ38" s="242"/>
      <c r="AK38" s="242"/>
      <c r="AL38" s="242"/>
      <c r="AM38" s="242"/>
      <c r="AN38" s="242"/>
      <c r="AO38" s="242"/>
      <c r="AP38" s="242"/>
      <c r="AQ38" s="242"/>
    </row>
    <row r="39" spans="1:43" s="241" customFormat="1" ht="14.25" hidden="1" customHeight="1" outlineLevel="1" x14ac:dyDescent="0.2">
      <c r="A39" s="629" t="s">
        <v>299</v>
      </c>
      <c r="B39" s="630"/>
      <c r="C39" s="630"/>
      <c r="D39" s="631"/>
      <c r="E39" s="625" t="s">
        <v>295</v>
      </c>
      <c r="F39" s="626"/>
      <c r="G39" s="626"/>
      <c r="H39" s="593"/>
      <c r="I39" s="594"/>
      <c r="J39" s="512" t="s">
        <v>293</v>
      </c>
      <c r="K39" s="484"/>
      <c r="L39" s="279"/>
      <c r="M39" s="279"/>
      <c r="N39" s="279"/>
      <c r="O39" s="279"/>
      <c r="P39" s="279"/>
      <c r="Q39" s="485">
        <f t="shared" si="1"/>
        <v>0</v>
      </c>
      <c r="R39" s="485"/>
      <c r="S39" s="485"/>
      <c r="U39" s="257"/>
      <c r="V39" s="257"/>
      <c r="AB39" s="242"/>
      <c r="AC39" s="242"/>
      <c r="AD39" s="242"/>
      <c r="AE39" s="242"/>
      <c r="AF39" s="242"/>
      <c r="AG39" s="242"/>
      <c r="AH39" s="242"/>
      <c r="AI39" s="242"/>
      <c r="AJ39" s="242"/>
      <c r="AK39" s="242"/>
      <c r="AL39" s="242"/>
      <c r="AM39" s="242"/>
      <c r="AN39" s="242"/>
      <c r="AO39" s="242"/>
      <c r="AP39" s="242"/>
      <c r="AQ39" s="242"/>
    </row>
    <row r="40" spans="1:43" s="241" customFormat="1" ht="14.25" hidden="1" customHeight="1" outlineLevel="1" x14ac:dyDescent="0.2">
      <c r="A40" s="632"/>
      <c r="B40" s="633"/>
      <c r="C40" s="633"/>
      <c r="D40" s="634"/>
      <c r="E40" s="627"/>
      <c r="F40" s="628"/>
      <c r="G40" s="628"/>
      <c r="H40" s="595"/>
      <c r="I40" s="596"/>
      <c r="J40" s="512" t="s">
        <v>6</v>
      </c>
      <c r="K40" s="484"/>
      <c r="L40" s="279"/>
      <c r="M40" s="279"/>
      <c r="N40" s="279"/>
      <c r="O40" s="279"/>
      <c r="P40" s="279"/>
      <c r="Q40" s="485">
        <f t="shared" si="1"/>
        <v>0</v>
      </c>
      <c r="R40" s="485"/>
      <c r="S40" s="485"/>
      <c r="U40" s="257"/>
      <c r="V40" s="257"/>
      <c r="AB40" s="242"/>
      <c r="AC40" s="242"/>
      <c r="AD40" s="242"/>
      <c r="AE40" s="242"/>
      <c r="AF40" s="242"/>
      <c r="AG40" s="242"/>
      <c r="AH40" s="242"/>
      <c r="AI40" s="242"/>
      <c r="AJ40" s="242"/>
      <c r="AK40" s="242"/>
      <c r="AL40" s="242"/>
      <c r="AM40" s="242"/>
      <c r="AN40" s="242"/>
      <c r="AO40" s="242"/>
      <c r="AP40" s="242"/>
      <c r="AQ40" s="242"/>
    </row>
    <row r="41" spans="1:43" s="241" customFormat="1" ht="14.25" hidden="1" customHeight="1" outlineLevel="1" x14ac:dyDescent="0.2">
      <c r="A41" s="629" t="s">
        <v>299</v>
      </c>
      <c r="B41" s="630"/>
      <c r="C41" s="630"/>
      <c r="D41" s="631"/>
      <c r="E41" s="625" t="s">
        <v>295</v>
      </c>
      <c r="F41" s="626"/>
      <c r="G41" s="626"/>
      <c r="H41" s="593"/>
      <c r="I41" s="594"/>
      <c r="J41" s="512" t="s">
        <v>293</v>
      </c>
      <c r="K41" s="484"/>
      <c r="L41" s="279"/>
      <c r="M41" s="279"/>
      <c r="N41" s="279"/>
      <c r="O41" s="279"/>
      <c r="P41" s="279"/>
      <c r="Q41" s="485">
        <f t="shared" si="1"/>
        <v>0</v>
      </c>
      <c r="R41" s="485"/>
      <c r="S41" s="485"/>
      <c r="U41" s="257"/>
      <c r="V41" s="257"/>
      <c r="AB41" s="242"/>
      <c r="AC41" s="242"/>
      <c r="AD41" s="242"/>
      <c r="AE41" s="242"/>
      <c r="AF41" s="242"/>
      <c r="AG41" s="242"/>
      <c r="AH41" s="242"/>
      <c r="AI41" s="242"/>
      <c r="AJ41" s="242"/>
      <c r="AK41" s="242"/>
      <c r="AL41" s="242"/>
      <c r="AM41" s="242"/>
      <c r="AN41" s="242"/>
      <c r="AO41" s="242"/>
      <c r="AP41" s="242"/>
      <c r="AQ41" s="242"/>
    </row>
    <row r="42" spans="1:43" s="241" customFormat="1" ht="14.25" hidden="1" customHeight="1" outlineLevel="1" x14ac:dyDescent="0.2">
      <c r="A42" s="632"/>
      <c r="B42" s="633"/>
      <c r="C42" s="633"/>
      <c r="D42" s="634"/>
      <c r="E42" s="627"/>
      <c r="F42" s="628"/>
      <c r="G42" s="628"/>
      <c r="H42" s="595"/>
      <c r="I42" s="596"/>
      <c r="J42" s="512" t="s">
        <v>6</v>
      </c>
      <c r="K42" s="484"/>
      <c r="L42" s="279"/>
      <c r="M42" s="279"/>
      <c r="N42" s="279"/>
      <c r="O42" s="279"/>
      <c r="P42" s="279"/>
      <c r="Q42" s="485">
        <f t="shared" si="1"/>
        <v>0</v>
      </c>
      <c r="R42" s="485"/>
      <c r="S42" s="485"/>
      <c r="U42" s="257"/>
      <c r="V42" s="257"/>
      <c r="AB42" s="242"/>
      <c r="AC42" s="242"/>
      <c r="AD42" s="242"/>
      <c r="AE42" s="242"/>
      <c r="AF42" s="242"/>
      <c r="AG42" s="242"/>
      <c r="AH42" s="242"/>
      <c r="AI42" s="242"/>
      <c r="AJ42" s="242"/>
      <c r="AK42" s="242"/>
      <c r="AL42" s="242"/>
      <c r="AM42" s="242"/>
      <c r="AN42" s="242"/>
      <c r="AO42" s="242"/>
      <c r="AP42" s="242"/>
      <c r="AQ42" s="242"/>
    </row>
    <row r="43" spans="1:43" s="241" customFormat="1" ht="14.25" hidden="1" customHeight="1" outlineLevel="1" x14ac:dyDescent="0.2">
      <c r="A43" s="629" t="s">
        <v>299</v>
      </c>
      <c r="B43" s="630"/>
      <c r="C43" s="630"/>
      <c r="D43" s="631"/>
      <c r="E43" s="625" t="s">
        <v>295</v>
      </c>
      <c r="F43" s="626"/>
      <c r="G43" s="626"/>
      <c r="H43" s="593"/>
      <c r="I43" s="594"/>
      <c r="J43" s="512" t="s">
        <v>293</v>
      </c>
      <c r="K43" s="484"/>
      <c r="L43" s="279"/>
      <c r="M43" s="279"/>
      <c r="N43" s="279"/>
      <c r="O43" s="279"/>
      <c r="P43" s="279"/>
      <c r="Q43" s="485">
        <f t="shared" si="1"/>
        <v>0</v>
      </c>
      <c r="R43" s="485"/>
      <c r="S43" s="485"/>
      <c r="U43" s="257"/>
      <c r="V43" s="257"/>
      <c r="AB43" s="242"/>
      <c r="AC43" s="242"/>
      <c r="AD43" s="242"/>
      <c r="AE43" s="242"/>
      <c r="AF43" s="242"/>
      <c r="AG43" s="242"/>
      <c r="AH43" s="242"/>
      <c r="AI43" s="242"/>
      <c r="AJ43" s="242"/>
      <c r="AK43" s="242"/>
      <c r="AL43" s="242"/>
      <c r="AM43" s="242"/>
      <c r="AN43" s="242"/>
      <c r="AO43" s="242"/>
      <c r="AP43" s="242"/>
      <c r="AQ43" s="242"/>
    </row>
    <row r="44" spans="1:43" s="241" customFormat="1" ht="13.5" hidden="1" customHeight="1" outlineLevel="1" x14ac:dyDescent="0.2">
      <c r="A44" s="632"/>
      <c r="B44" s="633"/>
      <c r="C44" s="633"/>
      <c r="D44" s="634"/>
      <c r="E44" s="627"/>
      <c r="F44" s="628"/>
      <c r="G44" s="628"/>
      <c r="H44" s="595"/>
      <c r="I44" s="596"/>
      <c r="J44" s="512" t="s">
        <v>6</v>
      </c>
      <c r="K44" s="484"/>
      <c r="L44" s="279"/>
      <c r="M44" s="279"/>
      <c r="N44" s="279"/>
      <c r="O44" s="279"/>
      <c r="P44" s="279"/>
      <c r="Q44" s="485">
        <f t="shared" si="1"/>
        <v>0</v>
      </c>
      <c r="R44" s="485"/>
      <c r="S44" s="485"/>
      <c r="AB44" s="242"/>
      <c r="AC44" s="242"/>
      <c r="AD44" s="242"/>
      <c r="AE44" s="242"/>
      <c r="AF44" s="242"/>
      <c r="AG44" s="242"/>
      <c r="AH44" s="242"/>
      <c r="AI44" s="242"/>
      <c r="AJ44" s="242"/>
      <c r="AK44" s="242"/>
      <c r="AL44" s="242"/>
      <c r="AM44" s="242"/>
      <c r="AN44" s="242"/>
      <c r="AO44" s="242"/>
      <c r="AP44" s="242"/>
      <c r="AQ44" s="242"/>
    </row>
    <row r="45" spans="1:43" s="241" customFormat="1" ht="14.25" customHeight="1" collapsed="1" x14ac:dyDescent="0.2">
      <c r="A45" s="635" t="s">
        <v>153</v>
      </c>
      <c r="B45" s="635"/>
      <c r="C45" s="635"/>
      <c r="D45" s="635"/>
      <c r="E45" s="635"/>
      <c r="F45" s="635"/>
      <c r="G45" s="635"/>
      <c r="H45" s="635"/>
      <c r="I45" s="635"/>
      <c r="J45" s="635"/>
      <c r="K45" s="635"/>
      <c r="L45" s="635"/>
      <c r="M45" s="635"/>
      <c r="N45" s="635"/>
      <c r="O45" s="635"/>
      <c r="P45" s="636"/>
      <c r="Q45" s="465">
        <f>SUM(Q26:S44)</f>
        <v>0</v>
      </c>
      <c r="R45" s="477"/>
      <c r="S45" s="478"/>
      <c r="AB45" s="242"/>
      <c r="AC45" s="242"/>
      <c r="AD45" s="242"/>
      <c r="AE45" s="242"/>
      <c r="AF45" s="242"/>
      <c r="AG45" s="242"/>
      <c r="AH45" s="242"/>
      <c r="AI45" s="242"/>
      <c r="AJ45" s="242"/>
      <c r="AK45" s="242"/>
      <c r="AL45" s="242"/>
      <c r="AM45" s="242"/>
      <c r="AN45" s="242"/>
      <c r="AO45" s="242"/>
      <c r="AP45" s="242"/>
      <c r="AQ45" s="242"/>
    </row>
    <row r="46" spans="1:43" s="241" customFormat="1" ht="14.25" customHeight="1" x14ac:dyDescent="0.2">
      <c r="A46" s="640" t="s">
        <v>154</v>
      </c>
      <c r="B46" s="641"/>
      <c r="C46" s="641"/>
      <c r="D46" s="642"/>
      <c r="E46" s="643" t="s">
        <v>300</v>
      </c>
      <c r="F46" s="643"/>
      <c r="G46" s="643"/>
      <c r="H46" s="643"/>
      <c r="I46" s="643"/>
      <c r="J46" s="643"/>
      <c r="K46" s="643"/>
      <c r="L46" s="643"/>
      <c r="M46" s="643"/>
      <c r="N46" s="643"/>
      <c r="O46" s="643"/>
      <c r="P46" s="643"/>
      <c r="Q46" s="643"/>
      <c r="R46" s="643"/>
      <c r="S46" s="644"/>
      <c r="U46" s="637" t="s">
        <v>301</v>
      </c>
      <c r="V46" s="637"/>
      <c r="W46" s="637"/>
      <c r="X46" s="637"/>
      <c r="Y46" s="637"/>
      <c r="Z46" s="637"/>
      <c r="AA46" s="637"/>
      <c r="AB46" s="242"/>
      <c r="AC46" s="242"/>
      <c r="AD46" s="242"/>
      <c r="AE46" s="242"/>
      <c r="AF46" s="242"/>
      <c r="AG46" s="242"/>
      <c r="AH46" s="242"/>
      <c r="AI46" s="242"/>
      <c r="AJ46" s="242"/>
      <c r="AK46" s="242"/>
      <c r="AL46" s="242"/>
      <c r="AM46" s="242"/>
      <c r="AN46" s="242"/>
      <c r="AO46" s="242"/>
      <c r="AP46" s="242"/>
      <c r="AQ46" s="242"/>
    </row>
    <row r="47" spans="1:43" s="263" customFormat="1" ht="51.75" customHeight="1" x14ac:dyDescent="0.2">
      <c r="A47" s="453" t="s">
        <v>57</v>
      </c>
      <c r="B47" s="454"/>
      <c r="C47" s="454"/>
      <c r="D47" s="454"/>
      <c r="E47" s="454"/>
      <c r="F47" s="454"/>
      <c r="G47" s="608" t="s">
        <v>155</v>
      </c>
      <c r="H47" s="638"/>
      <c r="I47" s="616" t="s">
        <v>394</v>
      </c>
      <c r="J47" s="616"/>
      <c r="K47" s="638"/>
      <c r="L47" s="256" t="s">
        <v>76</v>
      </c>
      <c r="M47" s="256" t="s">
        <v>77</v>
      </c>
      <c r="N47" s="256" t="s">
        <v>78</v>
      </c>
      <c r="O47" s="256" t="s">
        <v>79</v>
      </c>
      <c r="P47" s="256" t="s">
        <v>80</v>
      </c>
      <c r="Q47" s="639" t="s">
        <v>156</v>
      </c>
      <c r="R47" s="639"/>
      <c r="S47" s="639"/>
      <c r="U47" s="637"/>
      <c r="V47" s="637"/>
      <c r="W47" s="637"/>
      <c r="X47" s="637"/>
      <c r="Y47" s="637"/>
      <c r="Z47" s="637"/>
      <c r="AA47" s="637"/>
      <c r="AB47" s="264"/>
      <c r="AC47" s="264"/>
      <c r="AD47" s="264"/>
      <c r="AE47" s="264"/>
      <c r="AF47" s="264"/>
      <c r="AG47" s="264"/>
      <c r="AH47" s="264"/>
      <c r="AI47" s="264"/>
      <c r="AJ47" s="264"/>
      <c r="AK47" s="264"/>
      <c r="AL47" s="264"/>
      <c r="AM47" s="264"/>
      <c r="AN47" s="264"/>
      <c r="AO47" s="264"/>
      <c r="AP47" s="264"/>
      <c r="AQ47" s="264"/>
    </row>
    <row r="48" spans="1:43" s="241" customFormat="1" ht="14.25" customHeight="1" x14ac:dyDescent="0.2">
      <c r="A48" s="493" t="s">
        <v>302</v>
      </c>
      <c r="B48" s="494"/>
      <c r="C48" s="494"/>
      <c r="D48" s="494"/>
      <c r="E48" s="494"/>
      <c r="F48" s="495"/>
      <c r="G48" s="265" t="s">
        <v>303</v>
      </c>
      <c r="H48" s="266"/>
      <c r="I48" s="483"/>
      <c r="J48" s="483"/>
      <c r="K48" s="484"/>
      <c r="L48" s="267"/>
      <c r="M48" s="267"/>
      <c r="N48" s="267"/>
      <c r="O48" s="267"/>
      <c r="P48" s="268"/>
      <c r="Q48" s="485">
        <f t="shared" ref="Q48:Q73" si="2">SUM(L48:P48)</f>
        <v>0</v>
      </c>
      <c r="R48" s="485"/>
      <c r="S48" s="485"/>
      <c r="U48" s="637"/>
      <c r="V48" s="637"/>
      <c r="W48" s="637"/>
      <c r="X48" s="637"/>
      <c r="Y48" s="637"/>
      <c r="Z48" s="637"/>
      <c r="AA48" s="637"/>
      <c r="AB48" s="242"/>
      <c r="AC48" s="242"/>
      <c r="AD48" s="242"/>
      <c r="AE48" s="242"/>
      <c r="AF48" s="242"/>
      <c r="AG48" s="242"/>
      <c r="AH48" s="242"/>
      <c r="AI48" s="242"/>
      <c r="AJ48" s="242"/>
      <c r="AK48" s="242"/>
      <c r="AL48" s="242"/>
      <c r="AM48" s="242"/>
      <c r="AN48" s="242"/>
      <c r="AO48" s="242"/>
      <c r="AP48" s="242"/>
      <c r="AQ48" s="242"/>
    </row>
    <row r="49" spans="1:43" s="230" customFormat="1" ht="14.25" customHeight="1" x14ac:dyDescent="0.2">
      <c r="A49" s="496"/>
      <c r="B49" s="497"/>
      <c r="C49" s="497"/>
      <c r="D49" s="497"/>
      <c r="E49" s="497"/>
      <c r="F49" s="498"/>
      <c r="G49" s="265" t="s">
        <v>304</v>
      </c>
      <c r="H49" s="266"/>
      <c r="I49" s="491"/>
      <c r="J49" s="491"/>
      <c r="K49" s="492"/>
      <c r="L49" s="267"/>
      <c r="M49" s="267"/>
      <c r="N49" s="267"/>
      <c r="O49" s="267"/>
      <c r="P49" s="268"/>
      <c r="Q49" s="485">
        <f t="shared" si="2"/>
        <v>0</v>
      </c>
      <c r="R49" s="485"/>
      <c r="S49" s="485"/>
      <c r="U49" s="637"/>
      <c r="V49" s="637"/>
      <c r="W49" s="637"/>
      <c r="X49" s="637"/>
      <c r="Y49" s="637"/>
      <c r="Z49" s="637"/>
      <c r="AA49" s="637"/>
      <c r="AB49" s="231"/>
      <c r="AC49" s="231"/>
      <c r="AD49" s="231"/>
      <c r="AE49" s="231"/>
      <c r="AF49" s="231"/>
      <c r="AG49" s="231"/>
      <c r="AH49" s="231"/>
      <c r="AI49" s="231"/>
      <c r="AJ49" s="231"/>
      <c r="AK49" s="231"/>
      <c r="AL49" s="231"/>
      <c r="AM49" s="231"/>
      <c r="AN49" s="231"/>
      <c r="AO49" s="231"/>
      <c r="AP49" s="231"/>
      <c r="AQ49" s="231"/>
    </row>
    <row r="50" spans="1:43" s="241" customFormat="1" ht="14.25" customHeight="1" x14ac:dyDescent="0.2">
      <c r="A50" s="496"/>
      <c r="B50" s="497"/>
      <c r="C50" s="497"/>
      <c r="D50" s="497"/>
      <c r="E50" s="497"/>
      <c r="F50" s="498"/>
      <c r="G50" s="488" t="s">
        <v>305</v>
      </c>
      <c r="H50" s="489"/>
      <c r="I50" s="502"/>
      <c r="J50" s="502"/>
      <c r="K50" s="503"/>
      <c r="L50" s="267"/>
      <c r="M50" s="267"/>
      <c r="N50" s="267"/>
      <c r="O50" s="267"/>
      <c r="P50" s="268"/>
      <c r="Q50" s="485">
        <f t="shared" si="2"/>
        <v>0</v>
      </c>
      <c r="R50" s="485"/>
      <c r="S50" s="485"/>
      <c r="U50" s="637"/>
      <c r="V50" s="637"/>
      <c r="W50" s="637"/>
      <c r="X50" s="637"/>
      <c r="Y50" s="637"/>
      <c r="Z50" s="637"/>
      <c r="AA50" s="637"/>
      <c r="AB50" s="242"/>
      <c r="AC50" s="242"/>
      <c r="AD50" s="242"/>
      <c r="AE50" s="242"/>
      <c r="AF50" s="242"/>
      <c r="AG50" s="242"/>
      <c r="AH50" s="242"/>
      <c r="AI50" s="242"/>
      <c r="AJ50" s="242"/>
      <c r="AK50" s="242"/>
      <c r="AL50" s="242"/>
      <c r="AM50" s="242"/>
      <c r="AN50" s="242"/>
      <c r="AO50" s="242"/>
      <c r="AP50" s="242"/>
      <c r="AQ50" s="242"/>
    </row>
    <row r="51" spans="1:43" s="241" customFormat="1" ht="12" customHeight="1" x14ac:dyDescent="0.2">
      <c r="A51" s="499"/>
      <c r="B51" s="500"/>
      <c r="C51" s="500"/>
      <c r="D51" s="500"/>
      <c r="E51" s="500"/>
      <c r="F51" s="501"/>
      <c r="G51" s="488" t="s">
        <v>37</v>
      </c>
      <c r="H51" s="489"/>
      <c r="I51" s="504"/>
      <c r="J51" s="502"/>
      <c r="K51" s="503"/>
      <c r="L51" s="267"/>
      <c r="M51" s="267"/>
      <c r="N51" s="267"/>
      <c r="O51" s="267"/>
      <c r="P51" s="268"/>
      <c r="Q51" s="485">
        <f t="shared" si="2"/>
        <v>0</v>
      </c>
      <c r="R51" s="485"/>
      <c r="S51" s="485"/>
      <c r="U51" s="637"/>
      <c r="V51" s="637"/>
      <c r="W51" s="637"/>
      <c r="X51" s="637"/>
      <c r="Y51" s="637"/>
      <c r="Z51" s="637"/>
      <c r="AA51" s="637"/>
      <c r="AB51" s="242"/>
      <c r="AC51" s="242"/>
      <c r="AD51" s="242"/>
      <c r="AE51" s="242"/>
      <c r="AF51" s="242"/>
      <c r="AG51" s="242"/>
      <c r="AH51" s="242"/>
      <c r="AI51" s="242"/>
      <c r="AJ51" s="242"/>
      <c r="AK51" s="242"/>
      <c r="AL51" s="242"/>
      <c r="AM51" s="242"/>
      <c r="AN51" s="242"/>
      <c r="AO51" s="242"/>
      <c r="AP51" s="242"/>
      <c r="AQ51" s="242"/>
    </row>
    <row r="52" spans="1:43" s="241" customFormat="1" ht="14.25" hidden="1" customHeight="1" outlineLevel="1" x14ac:dyDescent="0.2">
      <c r="A52" s="493" t="s">
        <v>302</v>
      </c>
      <c r="B52" s="494"/>
      <c r="C52" s="494"/>
      <c r="D52" s="494"/>
      <c r="E52" s="494"/>
      <c r="F52" s="495"/>
      <c r="G52" s="265" t="s">
        <v>303</v>
      </c>
      <c r="H52" s="266"/>
      <c r="I52" s="483"/>
      <c r="J52" s="483"/>
      <c r="K52" s="484"/>
      <c r="L52" s="267"/>
      <c r="M52" s="267"/>
      <c r="N52" s="267"/>
      <c r="O52" s="267"/>
      <c r="P52" s="268"/>
      <c r="Q52" s="485">
        <f t="shared" si="2"/>
        <v>0</v>
      </c>
      <c r="R52" s="485"/>
      <c r="S52" s="485"/>
      <c r="AB52" s="242"/>
      <c r="AC52" s="242"/>
      <c r="AD52" s="242"/>
      <c r="AE52" s="242"/>
      <c r="AF52" s="242"/>
      <c r="AG52" s="242"/>
      <c r="AH52" s="242"/>
      <c r="AI52" s="242"/>
      <c r="AJ52" s="242"/>
      <c r="AK52" s="242"/>
      <c r="AL52" s="242"/>
      <c r="AM52" s="242"/>
      <c r="AN52" s="242"/>
      <c r="AO52" s="242"/>
      <c r="AP52" s="242"/>
      <c r="AQ52" s="242"/>
    </row>
    <row r="53" spans="1:43" s="230" customFormat="1" ht="14.25" hidden="1" customHeight="1" outlineLevel="1" x14ac:dyDescent="0.2">
      <c r="A53" s="496"/>
      <c r="B53" s="497"/>
      <c r="C53" s="497"/>
      <c r="D53" s="497"/>
      <c r="E53" s="497"/>
      <c r="F53" s="498"/>
      <c r="G53" s="265" t="s">
        <v>304</v>
      </c>
      <c r="H53" s="266"/>
      <c r="I53" s="491"/>
      <c r="J53" s="491"/>
      <c r="K53" s="492"/>
      <c r="L53" s="267"/>
      <c r="M53" s="267"/>
      <c r="N53" s="267"/>
      <c r="O53" s="267"/>
      <c r="P53" s="268"/>
      <c r="Q53" s="485">
        <f t="shared" si="2"/>
        <v>0</v>
      </c>
      <c r="R53" s="485"/>
      <c r="S53" s="485"/>
      <c r="U53" s="241"/>
      <c r="V53" s="241"/>
      <c r="W53" s="241"/>
      <c r="X53" s="241"/>
      <c r="Y53" s="241"/>
      <c r="Z53" s="241"/>
      <c r="AA53" s="241"/>
      <c r="AB53" s="231"/>
      <c r="AC53" s="231"/>
      <c r="AD53" s="231"/>
      <c r="AE53" s="231"/>
      <c r="AF53" s="231"/>
      <c r="AG53" s="231"/>
      <c r="AH53" s="231"/>
      <c r="AI53" s="231"/>
      <c r="AJ53" s="231"/>
      <c r="AK53" s="231"/>
      <c r="AL53" s="231"/>
      <c r="AM53" s="231"/>
      <c r="AN53" s="231"/>
      <c r="AO53" s="231"/>
      <c r="AP53" s="231"/>
      <c r="AQ53" s="231"/>
    </row>
    <row r="54" spans="1:43" s="241" customFormat="1" ht="14.25" hidden="1" customHeight="1" outlineLevel="1" x14ac:dyDescent="0.2">
      <c r="A54" s="496"/>
      <c r="B54" s="497"/>
      <c r="C54" s="497"/>
      <c r="D54" s="497"/>
      <c r="E54" s="497"/>
      <c r="F54" s="498"/>
      <c r="G54" s="488" t="s">
        <v>305</v>
      </c>
      <c r="H54" s="489"/>
      <c r="I54" s="502"/>
      <c r="J54" s="502"/>
      <c r="K54" s="503"/>
      <c r="L54" s="267"/>
      <c r="M54" s="267"/>
      <c r="N54" s="267"/>
      <c r="O54" s="267"/>
      <c r="P54" s="268"/>
      <c r="Q54" s="485">
        <f t="shared" si="2"/>
        <v>0</v>
      </c>
      <c r="R54" s="485"/>
      <c r="S54" s="485"/>
      <c r="AB54" s="242"/>
      <c r="AC54" s="242"/>
      <c r="AD54" s="242"/>
      <c r="AE54" s="242"/>
      <c r="AF54" s="242"/>
      <c r="AG54" s="242"/>
      <c r="AH54" s="242"/>
      <c r="AI54" s="242"/>
      <c r="AJ54" s="242"/>
      <c r="AK54" s="242"/>
      <c r="AL54" s="242"/>
      <c r="AM54" s="242"/>
      <c r="AN54" s="242"/>
      <c r="AO54" s="242"/>
      <c r="AP54" s="242"/>
      <c r="AQ54" s="242"/>
    </row>
    <row r="55" spans="1:43" s="241" customFormat="1" ht="12" hidden="1" customHeight="1" outlineLevel="1" x14ac:dyDescent="0.2">
      <c r="A55" s="499"/>
      <c r="B55" s="500"/>
      <c r="C55" s="500"/>
      <c r="D55" s="500"/>
      <c r="E55" s="500"/>
      <c r="F55" s="501"/>
      <c r="G55" s="488" t="s">
        <v>37</v>
      </c>
      <c r="H55" s="489"/>
      <c r="I55" s="504"/>
      <c r="J55" s="502"/>
      <c r="K55" s="503"/>
      <c r="L55" s="267"/>
      <c r="M55" s="267"/>
      <c r="N55" s="267"/>
      <c r="O55" s="267"/>
      <c r="P55" s="268"/>
      <c r="Q55" s="485">
        <f t="shared" si="2"/>
        <v>0</v>
      </c>
      <c r="R55" s="485"/>
      <c r="S55" s="485"/>
      <c r="AB55" s="242"/>
      <c r="AC55" s="242"/>
      <c r="AD55" s="242"/>
      <c r="AE55" s="242"/>
      <c r="AF55" s="242"/>
      <c r="AG55" s="242"/>
      <c r="AH55" s="242"/>
      <c r="AI55" s="242"/>
      <c r="AJ55" s="242"/>
      <c r="AK55" s="242"/>
      <c r="AL55" s="242"/>
      <c r="AM55" s="242"/>
      <c r="AN55" s="242"/>
      <c r="AO55" s="242"/>
      <c r="AP55" s="242"/>
      <c r="AQ55" s="242"/>
    </row>
    <row r="56" spans="1:43" s="241" customFormat="1" ht="14.25" hidden="1" customHeight="1" outlineLevel="1" x14ac:dyDescent="0.2">
      <c r="A56" s="645" t="s">
        <v>302</v>
      </c>
      <c r="B56" s="646"/>
      <c r="C56" s="646"/>
      <c r="D56" s="646"/>
      <c r="E56" s="646"/>
      <c r="F56" s="647"/>
      <c r="G56" s="265" t="s">
        <v>303</v>
      </c>
      <c r="H56" s="266"/>
      <c r="I56" s="483"/>
      <c r="J56" s="483"/>
      <c r="K56" s="484"/>
      <c r="L56" s="267"/>
      <c r="M56" s="267"/>
      <c r="N56" s="267"/>
      <c r="O56" s="267"/>
      <c r="P56" s="268"/>
      <c r="Q56" s="485">
        <f t="shared" si="2"/>
        <v>0</v>
      </c>
      <c r="R56" s="485"/>
      <c r="S56" s="485"/>
      <c r="AB56" s="242"/>
      <c r="AC56" s="242"/>
      <c r="AD56" s="242"/>
      <c r="AE56" s="242"/>
      <c r="AF56" s="242"/>
      <c r="AG56" s="242"/>
      <c r="AH56" s="242"/>
      <c r="AI56" s="242"/>
      <c r="AJ56" s="242"/>
      <c r="AK56" s="242"/>
      <c r="AL56" s="242"/>
      <c r="AM56" s="242"/>
      <c r="AN56" s="242"/>
      <c r="AO56" s="242"/>
      <c r="AP56" s="242"/>
      <c r="AQ56" s="242"/>
    </row>
    <row r="57" spans="1:43" s="230" customFormat="1" ht="14.25" hidden="1" customHeight="1" outlineLevel="1" x14ac:dyDescent="0.2">
      <c r="A57" s="648"/>
      <c r="B57" s="575"/>
      <c r="C57" s="575"/>
      <c r="D57" s="575"/>
      <c r="E57" s="575"/>
      <c r="F57" s="649"/>
      <c r="G57" s="265" t="s">
        <v>304</v>
      </c>
      <c r="H57" s="266"/>
      <c r="I57" s="491"/>
      <c r="J57" s="491"/>
      <c r="K57" s="492"/>
      <c r="L57" s="267"/>
      <c r="M57" s="267"/>
      <c r="N57" s="267"/>
      <c r="O57" s="267"/>
      <c r="P57" s="268"/>
      <c r="Q57" s="485">
        <f t="shared" si="2"/>
        <v>0</v>
      </c>
      <c r="R57" s="485"/>
      <c r="S57" s="485"/>
      <c r="U57" s="241"/>
      <c r="V57" s="241"/>
      <c r="W57" s="241"/>
      <c r="X57" s="241"/>
      <c r="Y57" s="241"/>
      <c r="Z57" s="241"/>
      <c r="AA57" s="241"/>
      <c r="AB57" s="231"/>
      <c r="AC57" s="231"/>
      <c r="AD57" s="231"/>
      <c r="AE57" s="231"/>
      <c r="AF57" s="231"/>
      <c r="AG57" s="231"/>
      <c r="AH57" s="231"/>
      <c r="AI57" s="231"/>
      <c r="AJ57" s="231"/>
      <c r="AK57" s="231"/>
      <c r="AL57" s="231"/>
      <c r="AM57" s="231"/>
      <c r="AN57" s="231"/>
      <c r="AO57" s="231"/>
      <c r="AP57" s="231"/>
      <c r="AQ57" s="231"/>
    </row>
    <row r="58" spans="1:43" s="241" customFormat="1" ht="14.25" hidden="1" customHeight="1" outlineLevel="1" x14ac:dyDescent="0.2">
      <c r="A58" s="648"/>
      <c r="B58" s="575"/>
      <c r="C58" s="575"/>
      <c r="D58" s="575"/>
      <c r="E58" s="575"/>
      <c r="F58" s="649"/>
      <c r="G58" s="488" t="s">
        <v>305</v>
      </c>
      <c r="H58" s="489"/>
      <c r="I58" s="502"/>
      <c r="J58" s="502"/>
      <c r="K58" s="503"/>
      <c r="L58" s="267"/>
      <c r="M58" s="267"/>
      <c r="N58" s="267"/>
      <c r="O58" s="267"/>
      <c r="P58" s="268"/>
      <c r="Q58" s="485">
        <f t="shared" si="2"/>
        <v>0</v>
      </c>
      <c r="R58" s="485"/>
      <c r="S58" s="485"/>
      <c r="AB58" s="242"/>
      <c r="AC58" s="242"/>
      <c r="AD58" s="242"/>
      <c r="AE58" s="242"/>
      <c r="AF58" s="242"/>
      <c r="AG58" s="242"/>
      <c r="AH58" s="242"/>
      <c r="AI58" s="242"/>
      <c r="AJ58" s="242"/>
      <c r="AK58" s="242"/>
      <c r="AL58" s="242"/>
      <c r="AM58" s="242"/>
      <c r="AN58" s="242"/>
      <c r="AO58" s="242"/>
      <c r="AP58" s="242"/>
      <c r="AQ58" s="242"/>
    </row>
    <row r="59" spans="1:43" s="241" customFormat="1" ht="12" hidden="1" customHeight="1" outlineLevel="1" x14ac:dyDescent="0.2">
      <c r="A59" s="650"/>
      <c r="B59" s="651"/>
      <c r="C59" s="651"/>
      <c r="D59" s="651"/>
      <c r="E59" s="651"/>
      <c r="F59" s="652"/>
      <c r="G59" s="488" t="s">
        <v>37</v>
      </c>
      <c r="H59" s="489"/>
      <c r="I59" s="504"/>
      <c r="J59" s="502"/>
      <c r="K59" s="503"/>
      <c r="L59" s="267"/>
      <c r="M59" s="267"/>
      <c r="N59" s="267"/>
      <c r="O59" s="267"/>
      <c r="P59" s="268"/>
      <c r="Q59" s="485">
        <f t="shared" si="2"/>
        <v>0</v>
      </c>
      <c r="R59" s="485"/>
      <c r="S59" s="485"/>
      <c r="AB59" s="242"/>
      <c r="AC59" s="242"/>
      <c r="AD59" s="242"/>
      <c r="AE59" s="242"/>
      <c r="AF59" s="242"/>
      <c r="AG59" s="242"/>
      <c r="AH59" s="242"/>
      <c r="AI59" s="242"/>
      <c r="AJ59" s="242"/>
      <c r="AK59" s="242"/>
      <c r="AL59" s="242"/>
      <c r="AM59" s="242"/>
      <c r="AN59" s="242"/>
      <c r="AO59" s="242"/>
      <c r="AP59" s="242"/>
      <c r="AQ59" s="242"/>
    </row>
    <row r="60" spans="1:43" s="241" customFormat="1" ht="14.25" customHeight="1" collapsed="1" x14ac:dyDescent="0.2">
      <c r="A60" s="493" t="s">
        <v>159</v>
      </c>
      <c r="B60" s="494"/>
      <c r="C60" s="494"/>
      <c r="D60" s="494"/>
      <c r="E60" s="494"/>
      <c r="F60" s="495"/>
      <c r="G60" s="265" t="s">
        <v>303</v>
      </c>
      <c r="H60" s="266"/>
      <c r="I60" s="483"/>
      <c r="J60" s="483"/>
      <c r="K60" s="484"/>
      <c r="L60" s="267"/>
      <c r="M60" s="267"/>
      <c r="N60" s="267"/>
      <c r="O60" s="267"/>
      <c r="P60" s="268"/>
      <c r="Q60" s="485">
        <f t="shared" si="2"/>
        <v>0</v>
      </c>
      <c r="R60" s="485"/>
      <c r="S60" s="485"/>
      <c r="AB60" s="242"/>
      <c r="AC60" s="242"/>
      <c r="AD60" s="242"/>
      <c r="AE60" s="242"/>
      <c r="AF60" s="242"/>
      <c r="AG60" s="242"/>
      <c r="AH60" s="242"/>
      <c r="AI60" s="242"/>
      <c r="AJ60" s="242"/>
      <c r="AK60" s="242"/>
      <c r="AL60" s="242"/>
      <c r="AM60" s="242"/>
      <c r="AN60" s="242"/>
      <c r="AO60" s="242"/>
      <c r="AP60" s="242"/>
      <c r="AQ60" s="242"/>
    </row>
    <row r="61" spans="1:43" s="241" customFormat="1" ht="14.25" customHeight="1" x14ac:dyDescent="0.2">
      <c r="A61" s="496"/>
      <c r="B61" s="497"/>
      <c r="C61" s="497"/>
      <c r="D61" s="497"/>
      <c r="E61" s="497"/>
      <c r="F61" s="498"/>
      <c r="G61" s="265" t="s">
        <v>304</v>
      </c>
      <c r="H61" s="266"/>
      <c r="I61" s="491"/>
      <c r="J61" s="491"/>
      <c r="K61" s="492"/>
      <c r="L61" s="267"/>
      <c r="M61" s="267"/>
      <c r="N61" s="267"/>
      <c r="O61" s="267"/>
      <c r="P61" s="268"/>
      <c r="Q61" s="485">
        <f t="shared" si="2"/>
        <v>0</v>
      </c>
      <c r="R61" s="485"/>
      <c r="S61" s="485"/>
      <c r="AB61" s="242"/>
      <c r="AC61" s="242"/>
      <c r="AD61" s="242"/>
      <c r="AE61" s="242"/>
      <c r="AF61" s="242"/>
      <c r="AG61" s="242"/>
      <c r="AH61" s="242"/>
      <c r="AI61" s="242"/>
      <c r="AJ61" s="242"/>
      <c r="AK61" s="242"/>
      <c r="AL61" s="242"/>
      <c r="AM61" s="242"/>
      <c r="AN61" s="242"/>
      <c r="AO61" s="242"/>
      <c r="AP61" s="242"/>
      <c r="AQ61" s="242"/>
    </row>
    <row r="62" spans="1:43" s="241" customFormat="1" ht="14.25" customHeight="1" x14ac:dyDescent="0.2">
      <c r="A62" s="496"/>
      <c r="B62" s="497"/>
      <c r="C62" s="497"/>
      <c r="D62" s="497"/>
      <c r="E62" s="497"/>
      <c r="F62" s="498"/>
      <c r="G62" s="488" t="s">
        <v>305</v>
      </c>
      <c r="H62" s="489"/>
      <c r="I62" s="502"/>
      <c r="J62" s="502"/>
      <c r="K62" s="503"/>
      <c r="L62" s="267"/>
      <c r="M62" s="267"/>
      <c r="N62" s="267"/>
      <c r="O62" s="267"/>
      <c r="P62" s="268"/>
      <c r="Q62" s="485">
        <f t="shared" si="2"/>
        <v>0</v>
      </c>
      <c r="R62" s="485"/>
      <c r="S62" s="485"/>
      <c r="AB62" s="242"/>
      <c r="AC62" s="242"/>
      <c r="AD62" s="242"/>
      <c r="AE62" s="242"/>
      <c r="AF62" s="242"/>
      <c r="AG62" s="242"/>
      <c r="AH62" s="242"/>
      <c r="AI62" s="242"/>
      <c r="AJ62" s="242"/>
      <c r="AK62" s="242"/>
      <c r="AL62" s="242"/>
      <c r="AM62" s="242"/>
      <c r="AN62" s="242"/>
      <c r="AO62" s="242"/>
      <c r="AP62" s="242"/>
      <c r="AQ62" s="242"/>
    </row>
    <row r="63" spans="1:43" s="241" customFormat="1" ht="14.25" customHeight="1" x14ac:dyDescent="0.2">
      <c r="A63" s="499"/>
      <c r="B63" s="500"/>
      <c r="C63" s="500"/>
      <c r="D63" s="500"/>
      <c r="E63" s="500"/>
      <c r="F63" s="501"/>
      <c r="G63" s="488" t="s">
        <v>37</v>
      </c>
      <c r="H63" s="489"/>
      <c r="I63" s="504"/>
      <c r="J63" s="502"/>
      <c r="K63" s="503"/>
      <c r="L63" s="267"/>
      <c r="M63" s="267"/>
      <c r="N63" s="267"/>
      <c r="O63" s="267"/>
      <c r="P63" s="268"/>
      <c r="Q63" s="485">
        <f t="shared" si="2"/>
        <v>0</v>
      </c>
      <c r="R63" s="485"/>
      <c r="S63" s="485"/>
      <c r="AB63" s="242"/>
      <c r="AC63" s="242"/>
      <c r="AD63" s="242"/>
      <c r="AE63" s="242"/>
      <c r="AF63" s="242"/>
      <c r="AG63" s="242"/>
      <c r="AH63" s="242"/>
      <c r="AI63" s="242"/>
      <c r="AJ63" s="242"/>
      <c r="AK63" s="242"/>
      <c r="AL63" s="242"/>
      <c r="AM63" s="242"/>
      <c r="AN63" s="242"/>
      <c r="AO63" s="242"/>
      <c r="AP63" s="242"/>
      <c r="AQ63" s="242"/>
    </row>
    <row r="64" spans="1:43" s="241" customFormat="1" ht="14.25" customHeight="1" x14ac:dyDescent="0.2">
      <c r="A64" s="493" t="s">
        <v>306</v>
      </c>
      <c r="B64" s="494"/>
      <c r="C64" s="494"/>
      <c r="D64" s="494"/>
      <c r="E64" s="494"/>
      <c r="F64" s="495"/>
      <c r="G64" s="265" t="s">
        <v>303</v>
      </c>
      <c r="H64" s="266"/>
      <c r="I64" s="483" t="s">
        <v>158</v>
      </c>
      <c r="J64" s="483"/>
      <c r="K64" s="484"/>
      <c r="L64" s="267"/>
      <c r="M64" s="267"/>
      <c r="N64" s="267"/>
      <c r="O64" s="267"/>
      <c r="P64" s="268"/>
      <c r="Q64" s="485">
        <f t="shared" si="2"/>
        <v>0</v>
      </c>
      <c r="R64" s="485"/>
      <c r="S64" s="485"/>
      <c r="U64" s="235"/>
      <c r="V64" s="235"/>
      <c r="W64" s="235"/>
      <c r="X64" s="235"/>
      <c r="Y64" s="235"/>
      <c r="Z64" s="235"/>
      <c r="AA64" s="235"/>
      <c r="AB64" s="242"/>
      <c r="AC64" s="242"/>
      <c r="AD64" s="242"/>
      <c r="AE64" s="242"/>
      <c r="AF64" s="242"/>
      <c r="AG64" s="242"/>
      <c r="AH64" s="242"/>
      <c r="AI64" s="242"/>
      <c r="AJ64" s="242"/>
      <c r="AK64" s="242"/>
      <c r="AL64" s="242"/>
      <c r="AM64" s="242"/>
      <c r="AN64" s="242"/>
      <c r="AO64" s="242"/>
      <c r="AP64" s="242"/>
      <c r="AQ64" s="242"/>
    </row>
    <row r="65" spans="1:43" s="241" customFormat="1" ht="14.25" customHeight="1" x14ac:dyDescent="0.2">
      <c r="A65" s="496"/>
      <c r="B65" s="497"/>
      <c r="C65" s="497"/>
      <c r="D65" s="497"/>
      <c r="E65" s="497"/>
      <c r="F65" s="498"/>
      <c r="G65" s="265" t="s">
        <v>304</v>
      </c>
      <c r="H65" s="266"/>
      <c r="I65" s="483" t="s">
        <v>158</v>
      </c>
      <c r="J65" s="483"/>
      <c r="K65" s="484"/>
      <c r="L65" s="267"/>
      <c r="M65" s="267"/>
      <c r="N65" s="267"/>
      <c r="O65" s="267"/>
      <c r="P65" s="268"/>
      <c r="Q65" s="485">
        <f t="shared" si="2"/>
        <v>0</v>
      </c>
      <c r="R65" s="485"/>
      <c r="S65" s="485"/>
      <c r="U65" s="235"/>
      <c r="V65" s="235"/>
      <c r="W65" s="235"/>
      <c r="X65" s="235"/>
      <c r="Y65" s="235"/>
      <c r="Z65" s="235"/>
      <c r="AA65" s="235"/>
      <c r="AB65" s="242"/>
      <c r="AC65" s="242"/>
      <c r="AD65" s="242"/>
      <c r="AE65" s="242"/>
      <c r="AF65" s="242"/>
      <c r="AG65" s="242"/>
      <c r="AH65" s="242"/>
      <c r="AI65" s="242"/>
      <c r="AJ65" s="242"/>
      <c r="AK65" s="242"/>
      <c r="AL65" s="242"/>
      <c r="AM65" s="242"/>
      <c r="AN65" s="242"/>
      <c r="AO65" s="242"/>
      <c r="AP65" s="242"/>
      <c r="AQ65" s="242"/>
    </row>
    <row r="66" spans="1:43" s="241" customFormat="1" ht="14.25" customHeight="1" x14ac:dyDescent="0.2">
      <c r="A66" s="496"/>
      <c r="B66" s="497"/>
      <c r="C66" s="497"/>
      <c r="D66" s="497"/>
      <c r="E66" s="497"/>
      <c r="F66" s="498"/>
      <c r="G66" s="488" t="s">
        <v>305</v>
      </c>
      <c r="H66" s="489"/>
      <c r="I66" s="483" t="s">
        <v>158</v>
      </c>
      <c r="J66" s="483"/>
      <c r="K66" s="484"/>
      <c r="L66" s="267"/>
      <c r="M66" s="267"/>
      <c r="N66" s="267"/>
      <c r="O66" s="267"/>
      <c r="P66" s="268"/>
      <c r="Q66" s="485">
        <f t="shared" si="2"/>
        <v>0</v>
      </c>
      <c r="R66" s="485"/>
      <c r="S66" s="485"/>
      <c r="U66" s="235"/>
      <c r="V66" s="235"/>
      <c r="W66" s="235"/>
      <c r="X66" s="235"/>
      <c r="Y66" s="235"/>
      <c r="Z66" s="235"/>
      <c r="AA66" s="235"/>
      <c r="AB66" s="242"/>
      <c r="AC66" s="242"/>
      <c r="AD66" s="242"/>
      <c r="AE66" s="242"/>
      <c r="AF66" s="242"/>
      <c r="AG66" s="242"/>
      <c r="AH66" s="242"/>
      <c r="AI66" s="242"/>
      <c r="AJ66" s="242"/>
      <c r="AK66" s="242"/>
      <c r="AL66" s="242"/>
      <c r="AM66" s="242"/>
      <c r="AN66" s="242"/>
      <c r="AO66" s="242"/>
      <c r="AP66" s="242"/>
      <c r="AQ66" s="242"/>
    </row>
    <row r="67" spans="1:43" s="241" customFormat="1" ht="14.25" customHeight="1" x14ac:dyDescent="0.2">
      <c r="A67" s="496"/>
      <c r="B67" s="497"/>
      <c r="C67" s="497"/>
      <c r="D67" s="497"/>
      <c r="E67" s="497"/>
      <c r="F67" s="498"/>
      <c r="G67" s="488" t="s">
        <v>37</v>
      </c>
      <c r="H67" s="489"/>
      <c r="I67" s="483" t="s">
        <v>158</v>
      </c>
      <c r="J67" s="483"/>
      <c r="K67" s="484"/>
      <c r="L67" s="267"/>
      <c r="M67" s="267"/>
      <c r="N67" s="267"/>
      <c r="O67" s="267"/>
      <c r="P67" s="268"/>
      <c r="Q67" s="485">
        <f t="shared" si="2"/>
        <v>0</v>
      </c>
      <c r="R67" s="485"/>
      <c r="S67" s="485"/>
      <c r="U67" s="235"/>
      <c r="V67" s="235"/>
      <c r="W67" s="235"/>
      <c r="X67" s="235"/>
      <c r="Y67" s="235"/>
      <c r="Z67" s="235"/>
      <c r="AA67" s="235"/>
      <c r="AB67" s="242"/>
      <c r="AC67" s="242"/>
      <c r="AD67" s="242"/>
      <c r="AE67" s="242"/>
      <c r="AF67" s="242"/>
      <c r="AG67" s="242"/>
      <c r="AH67" s="242"/>
      <c r="AI67" s="242"/>
      <c r="AJ67" s="242"/>
      <c r="AK67" s="242"/>
      <c r="AL67" s="242"/>
      <c r="AM67" s="242"/>
      <c r="AN67" s="242"/>
      <c r="AO67" s="242"/>
      <c r="AP67" s="242"/>
      <c r="AQ67" s="242"/>
    </row>
    <row r="68" spans="1:43" s="241" customFormat="1" ht="14.25" customHeight="1" x14ac:dyDescent="0.2">
      <c r="A68" s="446" t="s">
        <v>157</v>
      </c>
      <c r="B68" s="448"/>
      <c r="C68" s="448"/>
      <c r="D68" s="448"/>
      <c r="E68" s="448"/>
      <c r="F68" s="448"/>
      <c r="G68" s="488"/>
      <c r="H68" s="489"/>
      <c r="I68" s="490"/>
      <c r="J68" s="491"/>
      <c r="K68" s="492"/>
      <c r="L68" s="267"/>
      <c r="M68" s="267"/>
      <c r="N68" s="267"/>
      <c r="O68" s="267"/>
      <c r="P68" s="268"/>
      <c r="Q68" s="443">
        <f t="shared" si="2"/>
        <v>0</v>
      </c>
      <c r="R68" s="444"/>
      <c r="S68" s="445"/>
      <c r="AB68" s="242"/>
      <c r="AC68" s="242"/>
      <c r="AD68" s="242"/>
      <c r="AE68" s="242"/>
      <c r="AF68" s="242"/>
      <c r="AG68" s="242"/>
      <c r="AH68" s="242"/>
      <c r="AI68" s="242"/>
      <c r="AJ68" s="242"/>
      <c r="AK68" s="242"/>
      <c r="AL68" s="242"/>
      <c r="AM68" s="242"/>
      <c r="AN68" s="242"/>
      <c r="AO68" s="242"/>
      <c r="AP68" s="242"/>
      <c r="AQ68" s="242"/>
    </row>
    <row r="69" spans="1:43" s="241" customFormat="1" ht="14.25" customHeight="1" x14ac:dyDescent="0.2">
      <c r="A69" s="479" t="str">
        <f>A22</f>
        <v>Other 1 (specify)</v>
      </c>
      <c r="B69" s="480"/>
      <c r="C69" s="480"/>
      <c r="D69" s="480"/>
      <c r="E69" s="480"/>
      <c r="F69" s="480"/>
      <c r="G69" s="481"/>
      <c r="H69" s="482"/>
      <c r="I69" s="483"/>
      <c r="J69" s="483"/>
      <c r="K69" s="484"/>
      <c r="L69" s="267"/>
      <c r="M69" s="267"/>
      <c r="N69" s="267"/>
      <c r="O69" s="267"/>
      <c r="P69" s="268"/>
      <c r="Q69" s="485">
        <f t="shared" si="2"/>
        <v>0</v>
      </c>
      <c r="R69" s="485"/>
      <c r="S69" s="485"/>
      <c r="U69" s="235"/>
      <c r="V69" s="235"/>
      <c r="W69" s="235"/>
      <c r="X69" s="235"/>
      <c r="Y69" s="235"/>
      <c r="Z69" s="235"/>
      <c r="AA69" s="235"/>
      <c r="AB69" s="242"/>
      <c r="AC69" s="242"/>
      <c r="AD69" s="242"/>
      <c r="AE69" s="242"/>
      <c r="AF69" s="242"/>
      <c r="AG69" s="242"/>
      <c r="AH69" s="242"/>
      <c r="AI69" s="242"/>
      <c r="AJ69" s="242"/>
      <c r="AK69" s="242"/>
      <c r="AL69" s="242"/>
      <c r="AM69" s="242"/>
      <c r="AN69" s="242"/>
      <c r="AO69" s="242"/>
      <c r="AP69" s="242"/>
      <c r="AQ69" s="242"/>
    </row>
    <row r="70" spans="1:43" s="241" customFormat="1" ht="14.25" customHeight="1" x14ac:dyDescent="0.2">
      <c r="A70" s="479" t="str">
        <f>L16</f>
        <v>Other 2 (specify)</v>
      </c>
      <c r="B70" s="480"/>
      <c r="C70" s="480"/>
      <c r="D70" s="480"/>
      <c r="E70" s="480"/>
      <c r="F70" s="480"/>
      <c r="G70" s="481"/>
      <c r="H70" s="482"/>
      <c r="I70" s="483"/>
      <c r="J70" s="483"/>
      <c r="K70" s="484"/>
      <c r="L70" s="267"/>
      <c r="M70" s="267"/>
      <c r="N70" s="267"/>
      <c r="O70" s="267"/>
      <c r="P70" s="268"/>
      <c r="Q70" s="485">
        <f t="shared" si="2"/>
        <v>0</v>
      </c>
      <c r="R70" s="485"/>
      <c r="S70" s="485"/>
      <c r="U70" s="235"/>
      <c r="V70" s="235"/>
      <c r="W70" s="235"/>
      <c r="X70" s="235"/>
      <c r="Y70" s="235"/>
      <c r="Z70" s="235"/>
      <c r="AA70" s="235"/>
      <c r="AB70" s="242"/>
      <c r="AC70" s="242"/>
      <c r="AD70" s="242"/>
      <c r="AE70" s="242"/>
      <c r="AF70" s="242"/>
      <c r="AG70" s="242"/>
      <c r="AH70" s="242"/>
      <c r="AI70" s="242"/>
      <c r="AJ70" s="242"/>
      <c r="AK70" s="242"/>
      <c r="AL70" s="242"/>
      <c r="AM70" s="242"/>
      <c r="AN70" s="242"/>
      <c r="AO70" s="242"/>
      <c r="AP70" s="242"/>
      <c r="AQ70" s="242"/>
    </row>
    <row r="71" spans="1:43" s="241" customFormat="1" ht="14.25" customHeight="1" x14ac:dyDescent="0.2">
      <c r="A71" s="479" t="str">
        <f>L18</f>
        <v>Other 3 (specify)</v>
      </c>
      <c r="B71" s="480"/>
      <c r="C71" s="480"/>
      <c r="D71" s="480"/>
      <c r="E71" s="480"/>
      <c r="F71" s="480"/>
      <c r="G71" s="481"/>
      <c r="H71" s="482"/>
      <c r="I71" s="483"/>
      <c r="J71" s="483"/>
      <c r="K71" s="484"/>
      <c r="L71" s="267"/>
      <c r="M71" s="267"/>
      <c r="N71" s="267"/>
      <c r="O71" s="267"/>
      <c r="P71" s="268"/>
      <c r="Q71" s="485">
        <f t="shared" si="2"/>
        <v>0</v>
      </c>
      <c r="R71" s="485"/>
      <c r="S71" s="485"/>
      <c r="U71" s="235"/>
      <c r="V71" s="235"/>
      <c r="W71" s="235"/>
      <c r="X71" s="235"/>
      <c r="Y71" s="235"/>
      <c r="Z71" s="235"/>
      <c r="AA71" s="235"/>
      <c r="AB71" s="242"/>
      <c r="AC71" s="242"/>
      <c r="AD71" s="242"/>
      <c r="AE71" s="242"/>
      <c r="AF71" s="242"/>
      <c r="AG71" s="242"/>
      <c r="AH71" s="242"/>
      <c r="AI71" s="242"/>
      <c r="AJ71" s="242"/>
      <c r="AK71" s="242"/>
      <c r="AL71" s="242"/>
      <c r="AM71" s="242"/>
      <c r="AN71" s="242"/>
      <c r="AO71" s="242"/>
      <c r="AP71" s="242"/>
      <c r="AQ71" s="242"/>
    </row>
    <row r="72" spans="1:43" s="241" customFormat="1" ht="14.25" customHeight="1" x14ac:dyDescent="0.2">
      <c r="A72" s="479" t="str">
        <f>L20</f>
        <v>Other 4 (specify)</v>
      </c>
      <c r="B72" s="480"/>
      <c r="C72" s="480"/>
      <c r="D72" s="480"/>
      <c r="E72" s="480"/>
      <c r="F72" s="480"/>
      <c r="G72" s="481"/>
      <c r="H72" s="482"/>
      <c r="I72" s="483"/>
      <c r="J72" s="483"/>
      <c r="K72" s="484"/>
      <c r="L72" s="267"/>
      <c r="M72" s="267"/>
      <c r="N72" s="267"/>
      <c r="O72" s="267"/>
      <c r="P72" s="268"/>
      <c r="Q72" s="485">
        <f t="shared" si="2"/>
        <v>0</v>
      </c>
      <c r="R72" s="485"/>
      <c r="S72" s="485"/>
      <c r="U72" s="235"/>
      <c r="V72" s="235"/>
      <c r="W72" s="235"/>
      <c r="X72" s="235"/>
      <c r="Y72" s="235"/>
      <c r="Z72" s="235"/>
      <c r="AA72" s="235"/>
      <c r="AB72" s="242"/>
      <c r="AC72" s="242"/>
      <c r="AD72" s="242"/>
      <c r="AE72" s="242"/>
      <c r="AF72" s="242"/>
      <c r="AG72" s="242"/>
      <c r="AH72" s="242"/>
      <c r="AI72" s="242"/>
      <c r="AJ72" s="242"/>
      <c r="AK72" s="242"/>
      <c r="AL72" s="242"/>
      <c r="AM72" s="242"/>
      <c r="AN72" s="242"/>
      <c r="AO72" s="242"/>
      <c r="AP72" s="242"/>
      <c r="AQ72" s="242"/>
    </row>
    <row r="73" spans="1:43" s="241" customFormat="1" ht="14.25" customHeight="1" x14ac:dyDescent="0.2">
      <c r="A73" s="479" t="str">
        <f>L22</f>
        <v>Other 5 (specify)</v>
      </c>
      <c r="B73" s="480"/>
      <c r="C73" s="480"/>
      <c r="D73" s="480"/>
      <c r="E73" s="480"/>
      <c r="F73" s="480"/>
      <c r="G73" s="481"/>
      <c r="H73" s="482"/>
      <c r="I73" s="483"/>
      <c r="J73" s="483"/>
      <c r="K73" s="484"/>
      <c r="L73" s="267"/>
      <c r="M73" s="267"/>
      <c r="N73" s="267"/>
      <c r="O73" s="267"/>
      <c r="P73" s="268"/>
      <c r="Q73" s="485">
        <f t="shared" si="2"/>
        <v>0</v>
      </c>
      <c r="R73" s="485"/>
      <c r="S73" s="485"/>
      <c r="U73" s="235"/>
      <c r="V73" s="235"/>
      <c r="W73" s="235"/>
      <c r="X73" s="235"/>
      <c r="Y73" s="235"/>
      <c r="Z73" s="235"/>
      <c r="AA73" s="235"/>
      <c r="AB73" s="242"/>
      <c r="AC73" s="242"/>
      <c r="AD73" s="242"/>
      <c r="AE73" s="242"/>
      <c r="AF73" s="242"/>
      <c r="AG73" s="242"/>
      <c r="AH73" s="242"/>
      <c r="AI73" s="242"/>
      <c r="AJ73" s="242"/>
      <c r="AK73" s="242"/>
      <c r="AL73" s="242"/>
      <c r="AM73" s="242"/>
      <c r="AN73" s="242"/>
      <c r="AO73" s="242"/>
      <c r="AP73" s="242"/>
      <c r="AQ73" s="242"/>
    </row>
    <row r="74" spans="1:43" s="241" customFormat="1" ht="14.25" customHeight="1" x14ac:dyDescent="0.2">
      <c r="A74" s="462" t="s">
        <v>153</v>
      </c>
      <c r="B74" s="463"/>
      <c r="C74" s="463"/>
      <c r="D74" s="463"/>
      <c r="E74" s="463"/>
      <c r="F74" s="463"/>
      <c r="G74" s="463"/>
      <c r="H74" s="463"/>
      <c r="I74" s="463"/>
      <c r="J74" s="463"/>
      <c r="K74" s="463"/>
      <c r="L74" s="269">
        <f>SUM(L48:L73)</f>
        <v>0</v>
      </c>
      <c r="M74" s="269">
        <f>SUM(M48:M73)</f>
        <v>0</v>
      </c>
      <c r="N74" s="269">
        <f>SUM(N48:N73)</f>
        <v>0</v>
      </c>
      <c r="O74" s="269">
        <f>SUM(O48:O73)</f>
        <v>0</v>
      </c>
      <c r="P74" s="269">
        <f>SUM(P48:P73)</f>
        <v>0</v>
      </c>
      <c r="Q74" s="474">
        <f>SUM(Q48:S73)</f>
        <v>0</v>
      </c>
      <c r="R74" s="474"/>
      <c r="S74" s="474"/>
      <c r="U74" s="235"/>
      <c r="V74" s="235"/>
      <c r="W74" s="235"/>
      <c r="X74" s="235"/>
      <c r="Y74" s="235"/>
      <c r="Z74" s="235"/>
      <c r="AA74" s="235"/>
      <c r="AB74" s="242"/>
      <c r="AC74" s="242"/>
      <c r="AD74" s="242"/>
      <c r="AE74" s="242"/>
      <c r="AF74" s="242"/>
      <c r="AG74" s="242"/>
      <c r="AH74" s="242"/>
      <c r="AI74" s="242"/>
      <c r="AJ74" s="242"/>
      <c r="AK74" s="242"/>
      <c r="AL74" s="242"/>
      <c r="AM74" s="242"/>
      <c r="AN74" s="242"/>
      <c r="AO74" s="242"/>
      <c r="AP74" s="242"/>
      <c r="AQ74" s="242"/>
    </row>
    <row r="75" spans="1:43" s="241" customFormat="1" ht="14.25" customHeight="1" x14ac:dyDescent="0.2">
      <c r="A75" s="462" t="s">
        <v>307</v>
      </c>
      <c r="B75" s="475"/>
      <c r="C75" s="475"/>
      <c r="D75" s="475"/>
      <c r="E75" s="475"/>
      <c r="F75" s="475"/>
      <c r="G75" s="475"/>
      <c r="H75" s="475"/>
      <c r="I75" s="475"/>
      <c r="J75" s="475"/>
      <c r="K75" s="475"/>
      <c r="L75" s="475"/>
      <c r="M75" s="475"/>
      <c r="N75" s="475"/>
      <c r="O75" s="476"/>
      <c r="P75" s="465">
        <f>Q74+Q45</f>
        <v>0</v>
      </c>
      <c r="Q75" s="477"/>
      <c r="R75" s="477"/>
      <c r="S75" s="478"/>
      <c r="U75" s="235"/>
      <c r="V75" s="235"/>
      <c r="W75" s="235"/>
      <c r="X75" s="235"/>
      <c r="Y75" s="235"/>
      <c r="Z75" s="235"/>
      <c r="AA75" s="235"/>
      <c r="AB75" s="242"/>
      <c r="AC75" s="242"/>
      <c r="AD75" s="242"/>
      <c r="AE75" s="242"/>
      <c r="AF75" s="242"/>
      <c r="AG75" s="242"/>
      <c r="AH75" s="242"/>
      <c r="AI75" s="242"/>
      <c r="AJ75" s="242"/>
      <c r="AK75" s="242"/>
      <c r="AL75" s="242"/>
      <c r="AM75" s="242"/>
      <c r="AN75" s="242"/>
      <c r="AO75" s="242"/>
      <c r="AP75" s="242"/>
      <c r="AQ75" s="242"/>
    </row>
    <row r="76" spans="1:43" s="241" customFormat="1" ht="14.25" customHeight="1" x14ac:dyDescent="0.2">
      <c r="A76" s="459" t="s">
        <v>160</v>
      </c>
      <c r="B76" s="460"/>
      <c r="C76" s="460"/>
      <c r="D76" s="461"/>
      <c r="E76" s="459" t="s">
        <v>308</v>
      </c>
      <c r="F76" s="460"/>
      <c r="G76" s="460"/>
      <c r="H76" s="460"/>
      <c r="I76" s="460"/>
      <c r="J76" s="460"/>
      <c r="K76" s="460"/>
      <c r="L76" s="460"/>
      <c r="M76" s="460"/>
      <c r="N76" s="460"/>
      <c r="O76" s="460"/>
      <c r="P76" s="460"/>
      <c r="Q76" s="460"/>
      <c r="R76" s="460"/>
      <c r="S76" s="461"/>
      <c r="U76" s="447" t="s">
        <v>393</v>
      </c>
      <c r="V76" s="447"/>
      <c r="W76" s="447"/>
      <c r="X76" s="447"/>
      <c r="Y76" s="447"/>
      <c r="Z76" s="447"/>
      <c r="AA76" s="447"/>
      <c r="AB76" s="242"/>
      <c r="AC76" s="242"/>
      <c r="AD76" s="242"/>
      <c r="AE76" s="242"/>
      <c r="AF76" s="242"/>
      <c r="AG76" s="242"/>
      <c r="AH76" s="242"/>
      <c r="AI76" s="242"/>
      <c r="AJ76" s="242"/>
      <c r="AK76" s="242"/>
      <c r="AL76" s="242"/>
      <c r="AM76" s="242"/>
      <c r="AN76" s="242"/>
      <c r="AO76" s="242"/>
      <c r="AP76" s="242"/>
      <c r="AQ76" s="242"/>
    </row>
    <row r="77" spans="1:43" s="241" customFormat="1" ht="14.25" customHeight="1" x14ac:dyDescent="0.2">
      <c r="A77" s="446" t="s">
        <v>392</v>
      </c>
      <c r="B77" s="448"/>
      <c r="C77" s="448"/>
      <c r="D77" s="448"/>
      <c r="E77" s="448"/>
      <c r="F77" s="448"/>
      <c r="G77" s="448"/>
      <c r="H77" s="448"/>
      <c r="I77" s="448"/>
      <c r="J77" s="448"/>
      <c r="K77" s="448"/>
      <c r="L77" s="448"/>
      <c r="M77" s="448"/>
      <c r="N77" s="448"/>
      <c r="O77" s="449"/>
      <c r="P77" s="450"/>
      <c r="Q77" s="451"/>
      <c r="R77" s="451"/>
      <c r="S77" s="452"/>
      <c r="U77" s="447"/>
      <c r="V77" s="447"/>
      <c r="W77" s="447"/>
      <c r="X77" s="447"/>
      <c r="Y77" s="447"/>
      <c r="Z77" s="447"/>
      <c r="AA77" s="447"/>
      <c r="AB77" s="242"/>
      <c r="AC77" s="242"/>
      <c r="AD77" s="242"/>
      <c r="AE77" s="242"/>
      <c r="AF77" s="242"/>
      <c r="AG77" s="242"/>
      <c r="AH77" s="242"/>
      <c r="AI77" s="242"/>
      <c r="AJ77" s="242"/>
      <c r="AK77" s="242"/>
      <c r="AL77" s="242"/>
      <c r="AM77" s="242"/>
      <c r="AN77" s="242"/>
      <c r="AO77" s="242"/>
      <c r="AP77" s="242"/>
      <c r="AQ77" s="242"/>
    </row>
    <row r="78" spans="1:43" s="241" customFormat="1" ht="14.25" customHeight="1" x14ac:dyDescent="0.2">
      <c r="A78" s="446" t="s">
        <v>391</v>
      </c>
      <c r="B78" s="448"/>
      <c r="C78" s="448"/>
      <c r="D78" s="448"/>
      <c r="E78" s="448"/>
      <c r="F78" s="448"/>
      <c r="G78" s="448"/>
      <c r="H78" s="448"/>
      <c r="I78" s="448"/>
      <c r="J78" s="448"/>
      <c r="K78" s="448"/>
      <c r="L78" s="448"/>
      <c r="M78" s="448"/>
      <c r="N78" s="448"/>
      <c r="O78" s="449"/>
      <c r="P78" s="450"/>
      <c r="Q78" s="486"/>
      <c r="R78" s="486"/>
      <c r="S78" s="487"/>
      <c r="U78" s="447"/>
      <c r="V78" s="447"/>
      <c r="W78" s="447"/>
      <c r="X78" s="447"/>
      <c r="Y78" s="447"/>
      <c r="Z78" s="447"/>
      <c r="AA78" s="447"/>
      <c r="AB78" s="242"/>
      <c r="AC78" s="242"/>
      <c r="AD78" s="242"/>
      <c r="AE78" s="242"/>
      <c r="AF78" s="242"/>
      <c r="AG78" s="242"/>
      <c r="AH78" s="242"/>
      <c r="AI78" s="242"/>
      <c r="AJ78" s="242"/>
      <c r="AK78" s="242"/>
      <c r="AL78" s="242"/>
      <c r="AM78" s="242"/>
      <c r="AN78" s="242"/>
      <c r="AO78" s="242"/>
      <c r="AP78" s="242"/>
      <c r="AQ78" s="242"/>
    </row>
    <row r="79" spans="1:43" s="241" customFormat="1" ht="14.25" customHeight="1" x14ac:dyDescent="0.2">
      <c r="A79" s="446" t="s">
        <v>390</v>
      </c>
      <c r="B79" s="448"/>
      <c r="C79" s="448"/>
      <c r="D79" s="448"/>
      <c r="E79" s="448"/>
      <c r="F79" s="448"/>
      <c r="G79" s="448"/>
      <c r="H79" s="448"/>
      <c r="I79" s="448"/>
      <c r="J79" s="448"/>
      <c r="K79" s="448"/>
      <c r="L79" s="448"/>
      <c r="M79" s="448"/>
      <c r="N79" s="448"/>
      <c r="O79" s="449"/>
      <c r="P79" s="450"/>
      <c r="Q79" s="486"/>
      <c r="R79" s="486"/>
      <c r="S79" s="487"/>
      <c r="U79" s="447"/>
      <c r="V79" s="447"/>
      <c r="W79" s="447"/>
      <c r="X79" s="447"/>
      <c r="Y79" s="447"/>
      <c r="Z79" s="447"/>
      <c r="AA79" s="447"/>
      <c r="AB79" s="242"/>
      <c r="AC79" s="242"/>
      <c r="AD79" s="242"/>
      <c r="AE79" s="242"/>
      <c r="AF79" s="242"/>
      <c r="AG79" s="242"/>
      <c r="AH79" s="242"/>
      <c r="AI79" s="242"/>
      <c r="AJ79" s="242"/>
      <c r="AK79" s="242"/>
      <c r="AL79" s="242"/>
      <c r="AM79" s="242"/>
      <c r="AN79" s="242"/>
      <c r="AO79" s="242"/>
      <c r="AP79" s="242"/>
      <c r="AQ79" s="242"/>
    </row>
    <row r="80" spans="1:43" s="241" customFormat="1" ht="14.25" customHeight="1" x14ac:dyDescent="0.2">
      <c r="A80" s="462" t="s">
        <v>153</v>
      </c>
      <c r="B80" s="463"/>
      <c r="C80" s="463"/>
      <c r="D80" s="463"/>
      <c r="E80" s="463"/>
      <c r="F80" s="463"/>
      <c r="G80" s="463"/>
      <c r="H80" s="463"/>
      <c r="I80" s="463"/>
      <c r="J80" s="463"/>
      <c r="K80" s="463"/>
      <c r="L80" s="463"/>
      <c r="M80" s="463"/>
      <c r="N80" s="463"/>
      <c r="O80" s="464"/>
      <c r="P80" s="465">
        <f>SUM(P77:S79)</f>
        <v>0</v>
      </c>
      <c r="Q80" s="466"/>
      <c r="R80" s="466"/>
      <c r="S80" s="467"/>
      <c r="U80" s="447"/>
      <c r="V80" s="447"/>
      <c r="W80" s="447"/>
      <c r="X80" s="447"/>
      <c r="Y80" s="447"/>
      <c r="Z80" s="447"/>
      <c r="AA80" s="447"/>
      <c r="AB80" s="242"/>
      <c r="AC80" s="242"/>
      <c r="AD80" s="242"/>
      <c r="AE80" s="242"/>
      <c r="AF80" s="242"/>
      <c r="AG80" s="242"/>
      <c r="AH80" s="242"/>
      <c r="AI80" s="242"/>
      <c r="AJ80" s="242"/>
      <c r="AK80" s="242"/>
      <c r="AL80" s="242"/>
      <c r="AM80" s="242"/>
      <c r="AN80" s="242"/>
      <c r="AO80" s="242"/>
      <c r="AP80" s="242"/>
      <c r="AQ80" s="242"/>
    </row>
    <row r="81" spans="1:43" s="263" customFormat="1" ht="14.25" customHeight="1" x14ac:dyDescent="0.2">
      <c r="A81" s="453"/>
      <c r="B81" s="454"/>
      <c r="C81" s="454"/>
      <c r="D81" s="454"/>
      <c r="E81" s="454"/>
      <c r="F81" s="454"/>
      <c r="G81" s="454"/>
      <c r="H81" s="454"/>
      <c r="I81" s="454"/>
      <c r="J81" s="454"/>
      <c r="K81" s="454"/>
      <c r="L81" s="454"/>
      <c r="M81" s="454"/>
      <c r="N81" s="454"/>
      <c r="O81" s="454"/>
      <c r="P81" s="454"/>
      <c r="Q81" s="454"/>
      <c r="R81" s="454"/>
      <c r="S81" s="455"/>
      <c r="U81" s="447"/>
      <c r="V81" s="447"/>
      <c r="W81" s="447"/>
      <c r="X81" s="447"/>
      <c r="Y81" s="447"/>
      <c r="Z81" s="447"/>
      <c r="AA81" s="447"/>
      <c r="AB81" s="264"/>
      <c r="AC81" s="242"/>
      <c r="AD81" s="242"/>
      <c r="AE81" s="242"/>
      <c r="AF81" s="242"/>
      <c r="AG81" s="242"/>
      <c r="AH81" s="242"/>
      <c r="AI81" s="242"/>
      <c r="AJ81" s="242"/>
      <c r="AK81" s="242"/>
      <c r="AL81" s="242"/>
      <c r="AM81" s="242"/>
      <c r="AN81" s="242"/>
      <c r="AO81" s="264"/>
      <c r="AP81" s="264"/>
      <c r="AQ81" s="264"/>
    </row>
    <row r="82" spans="1:43" s="263" customFormat="1" ht="14.25" customHeight="1" x14ac:dyDescent="0.2">
      <c r="A82" s="456" t="s">
        <v>161</v>
      </c>
      <c r="B82" s="457"/>
      <c r="C82" s="457"/>
      <c r="D82" s="458"/>
      <c r="E82" s="456" t="s">
        <v>309</v>
      </c>
      <c r="F82" s="457"/>
      <c r="G82" s="457"/>
      <c r="H82" s="457"/>
      <c r="I82" s="457"/>
      <c r="J82" s="457"/>
      <c r="K82" s="457"/>
      <c r="L82" s="457"/>
      <c r="M82" s="457"/>
      <c r="N82" s="457"/>
      <c r="O82" s="457"/>
      <c r="P82" s="457"/>
      <c r="Q82" s="457"/>
      <c r="R82" s="457"/>
      <c r="S82" s="458"/>
      <c r="U82" s="447"/>
      <c r="V82" s="447"/>
      <c r="W82" s="447"/>
      <c r="X82" s="447"/>
      <c r="Y82" s="447"/>
      <c r="Z82" s="447"/>
      <c r="AA82" s="447"/>
      <c r="AB82" s="264"/>
      <c r="AC82" s="242"/>
      <c r="AD82" s="242"/>
      <c r="AE82" s="242"/>
      <c r="AF82" s="242"/>
      <c r="AG82" s="242"/>
      <c r="AH82" s="242"/>
      <c r="AI82" s="242"/>
      <c r="AJ82" s="242"/>
      <c r="AK82" s="242"/>
      <c r="AL82" s="242"/>
      <c r="AM82" s="242"/>
      <c r="AN82" s="242"/>
      <c r="AO82" s="264"/>
      <c r="AP82" s="264"/>
      <c r="AQ82" s="264"/>
    </row>
    <row r="83" spans="1:43" s="270" customFormat="1" ht="14.25" customHeight="1" x14ac:dyDescent="0.2">
      <c r="A83" s="442" t="s">
        <v>162</v>
      </c>
      <c r="B83" s="442"/>
      <c r="C83" s="442"/>
      <c r="D83" s="442"/>
      <c r="E83" s="442"/>
      <c r="F83" s="442"/>
      <c r="G83" s="442"/>
      <c r="H83" s="442"/>
      <c r="I83" s="442"/>
      <c r="J83" s="442"/>
      <c r="K83" s="442"/>
      <c r="L83" s="442"/>
      <c r="M83" s="442"/>
      <c r="N83" s="446"/>
      <c r="O83" s="446"/>
      <c r="P83" s="443">
        <f>+'[1]2-CS In-Kind'!K20</f>
        <v>0</v>
      </c>
      <c r="Q83" s="444"/>
      <c r="R83" s="444"/>
      <c r="S83" s="445"/>
      <c r="U83" s="447"/>
      <c r="V83" s="447"/>
      <c r="W83" s="447"/>
      <c r="X83" s="447"/>
      <c r="Y83" s="447"/>
      <c r="Z83" s="447"/>
      <c r="AA83" s="447"/>
      <c r="AB83" s="271"/>
      <c r="AC83" s="242"/>
      <c r="AD83" s="242"/>
      <c r="AE83" s="242"/>
      <c r="AF83" s="242"/>
      <c r="AG83" s="242"/>
      <c r="AH83" s="242"/>
      <c r="AI83" s="242"/>
      <c r="AJ83" s="242"/>
      <c r="AK83" s="242"/>
      <c r="AL83" s="242"/>
      <c r="AM83" s="242"/>
      <c r="AN83" s="242"/>
      <c r="AO83" s="271"/>
      <c r="AP83" s="271"/>
      <c r="AQ83" s="271"/>
    </row>
    <row r="84" spans="1:43" s="270" customFormat="1" ht="14.25" customHeight="1" x14ac:dyDescent="0.2">
      <c r="A84" s="442" t="s">
        <v>163</v>
      </c>
      <c r="B84" s="442"/>
      <c r="C84" s="442"/>
      <c r="D84" s="442"/>
      <c r="E84" s="442"/>
      <c r="F84" s="442"/>
      <c r="G84" s="442"/>
      <c r="H84" s="442"/>
      <c r="I84" s="442"/>
      <c r="J84" s="442"/>
      <c r="K84" s="442"/>
      <c r="L84" s="442"/>
      <c r="M84" s="442"/>
      <c r="N84" s="446"/>
      <c r="O84" s="446"/>
      <c r="P84" s="443">
        <f>+'[1]2-CS In-Kind'!K32</f>
        <v>0</v>
      </c>
      <c r="Q84" s="444"/>
      <c r="R84" s="444"/>
      <c r="S84" s="445"/>
      <c r="U84" s="447"/>
      <c r="V84" s="447"/>
      <c r="W84" s="447"/>
      <c r="X84" s="447"/>
      <c r="Y84" s="447"/>
      <c r="Z84" s="447"/>
      <c r="AA84" s="447"/>
      <c r="AB84" s="271"/>
      <c r="AC84" s="242"/>
      <c r="AD84" s="242"/>
      <c r="AE84" s="242"/>
      <c r="AF84" s="242"/>
      <c r="AG84" s="242"/>
      <c r="AH84" s="242"/>
      <c r="AI84" s="242"/>
      <c r="AJ84" s="242"/>
      <c r="AK84" s="242"/>
      <c r="AL84" s="242"/>
      <c r="AM84" s="242"/>
      <c r="AN84" s="242"/>
      <c r="AO84" s="271"/>
      <c r="AP84" s="271"/>
      <c r="AQ84" s="271"/>
    </row>
    <row r="85" spans="1:43" s="270" customFormat="1" ht="14.25" customHeight="1" x14ac:dyDescent="0.2">
      <c r="A85" s="462" t="s">
        <v>164</v>
      </c>
      <c r="B85" s="463"/>
      <c r="C85" s="463"/>
      <c r="D85" s="463"/>
      <c r="E85" s="463"/>
      <c r="F85" s="463"/>
      <c r="G85" s="463"/>
      <c r="H85" s="463"/>
      <c r="I85" s="463"/>
      <c r="J85" s="463"/>
      <c r="K85" s="463"/>
      <c r="L85" s="463"/>
      <c r="M85" s="463"/>
      <c r="N85" s="463"/>
      <c r="O85" s="464"/>
      <c r="P85" s="465">
        <f>SUM(P83:S84)</f>
        <v>0</v>
      </c>
      <c r="Q85" s="466"/>
      <c r="R85" s="466"/>
      <c r="S85" s="467"/>
      <c r="T85" s="241"/>
      <c r="U85" s="447"/>
      <c r="V85" s="447"/>
      <c r="W85" s="447"/>
      <c r="X85" s="447"/>
      <c r="Y85" s="447"/>
      <c r="Z85" s="447"/>
      <c r="AA85" s="447"/>
      <c r="AB85" s="271"/>
      <c r="AC85" s="242"/>
      <c r="AD85" s="242"/>
      <c r="AE85" s="242"/>
      <c r="AF85" s="242"/>
      <c r="AG85" s="242"/>
      <c r="AH85" s="242"/>
      <c r="AI85" s="242"/>
      <c r="AJ85" s="242"/>
      <c r="AK85" s="242"/>
      <c r="AL85" s="242"/>
      <c r="AM85" s="242"/>
      <c r="AN85" s="242"/>
      <c r="AO85" s="271"/>
      <c r="AP85" s="271"/>
      <c r="AQ85" s="271"/>
    </row>
    <row r="86" spans="1:43" s="241" customFormat="1" ht="14.25" customHeight="1" x14ac:dyDescent="0.2">
      <c r="A86" s="439" t="s">
        <v>165</v>
      </c>
      <c r="B86" s="440"/>
      <c r="C86" s="440"/>
      <c r="D86" s="441"/>
      <c r="E86" s="439" t="s">
        <v>310</v>
      </c>
      <c r="F86" s="440"/>
      <c r="G86" s="440"/>
      <c r="H86" s="440"/>
      <c r="I86" s="440"/>
      <c r="J86" s="440"/>
      <c r="K86" s="440"/>
      <c r="L86" s="440"/>
      <c r="M86" s="440"/>
      <c r="N86" s="440"/>
      <c r="O86" s="440"/>
      <c r="P86" s="440"/>
      <c r="Q86" s="440"/>
      <c r="R86" s="440"/>
      <c r="S86" s="441"/>
      <c r="U86" s="270"/>
      <c r="V86" s="270"/>
      <c r="W86" s="270"/>
      <c r="X86" s="270"/>
      <c r="Y86" s="270"/>
      <c r="Z86" s="270"/>
      <c r="AA86" s="270"/>
      <c r="AB86" s="242"/>
      <c r="AC86" s="242"/>
      <c r="AD86" s="242"/>
      <c r="AE86" s="242"/>
      <c r="AF86" s="242"/>
      <c r="AG86" s="242"/>
      <c r="AH86" s="242"/>
      <c r="AI86" s="242"/>
      <c r="AJ86" s="242"/>
      <c r="AK86" s="242"/>
      <c r="AL86" s="242"/>
      <c r="AM86" s="242"/>
      <c r="AN86" s="242"/>
      <c r="AO86" s="242"/>
      <c r="AP86" s="242"/>
      <c r="AQ86" s="242"/>
    </row>
    <row r="87" spans="1:43" s="241" customFormat="1" ht="14.25" customHeight="1" x14ac:dyDescent="0.2">
      <c r="A87" s="442" t="s">
        <v>166</v>
      </c>
      <c r="B87" s="442"/>
      <c r="C87" s="442"/>
      <c r="D87" s="442"/>
      <c r="E87" s="442"/>
      <c r="F87" s="442"/>
      <c r="G87" s="442"/>
      <c r="H87" s="442"/>
      <c r="I87" s="442"/>
      <c r="J87" s="442"/>
      <c r="K87" s="442"/>
      <c r="L87" s="442"/>
      <c r="M87" s="442"/>
      <c r="N87" s="442"/>
      <c r="O87" s="442"/>
      <c r="P87" s="443">
        <f>+'[1]3-CS External'!K19</f>
        <v>0</v>
      </c>
      <c r="Q87" s="444"/>
      <c r="R87" s="444"/>
      <c r="S87" s="445"/>
      <c r="AB87" s="242"/>
      <c r="AC87" s="242"/>
      <c r="AD87" s="242"/>
      <c r="AE87" s="242"/>
      <c r="AF87" s="242"/>
      <c r="AG87" s="242"/>
      <c r="AH87" s="242"/>
      <c r="AI87" s="242"/>
      <c r="AJ87" s="242"/>
      <c r="AK87" s="242"/>
      <c r="AL87" s="242"/>
      <c r="AM87" s="242"/>
      <c r="AN87" s="242"/>
      <c r="AO87" s="242"/>
      <c r="AP87" s="242"/>
      <c r="AQ87" s="242"/>
    </row>
    <row r="88" spans="1:43" s="241" customFormat="1" ht="14.25" customHeight="1" x14ac:dyDescent="0.2">
      <c r="A88" s="442" t="s">
        <v>167</v>
      </c>
      <c r="B88" s="442"/>
      <c r="C88" s="442"/>
      <c r="D88" s="442"/>
      <c r="E88" s="442"/>
      <c r="F88" s="442"/>
      <c r="G88" s="442"/>
      <c r="H88" s="442"/>
      <c r="I88" s="442"/>
      <c r="J88" s="442"/>
      <c r="K88" s="442"/>
      <c r="L88" s="442"/>
      <c r="M88" s="442"/>
      <c r="N88" s="446"/>
      <c r="O88" s="446"/>
      <c r="P88" s="443">
        <f>+'[1]3-CS External'!K31</f>
        <v>0</v>
      </c>
      <c r="Q88" s="444"/>
      <c r="R88" s="444"/>
      <c r="S88" s="445"/>
      <c r="T88" s="263"/>
      <c r="U88" s="263"/>
      <c r="W88" s="272"/>
      <c r="X88" s="272"/>
      <c r="Y88" s="272"/>
      <c r="Z88" s="263"/>
      <c r="AA88" s="263"/>
      <c r="AB88" s="242"/>
      <c r="AC88" s="242"/>
      <c r="AD88" s="242"/>
      <c r="AE88" s="242"/>
      <c r="AF88" s="242"/>
      <c r="AG88" s="242"/>
      <c r="AH88" s="242"/>
      <c r="AI88" s="242"/>
      <c r="AJ88" s="242"/>
      <c r="AK88" s="242"/>
      <c r="AL88" s="242"/>
      <c r="AM88" s="242"/>
      <c r="AN88" s="242"/>
      <c r="AO88" s="242"/>
      <c r="AP88" s="242"/>
      <c r="AQ88" s="242"/>
    </row>
    <row r="89" spans="1:43" s="263" customFormat="1" ht="14.25" customHeight="1" x14ac:dyDescent="0.2">
      <c r="A89" s="462" t="s">
        <v>168</v>
      </c>
      <c r="B89" s="463"/>
      <c r="C89" s="463"/>
      <c r="D89" s="463"/>
      <c r="E89" s="463"/>
      <c r="F89" s="463"/>
      <c r="G89" s="463"/>
      <c r="H89" s="463"/>
      <c r="I89" s="463"/>
      <c r="J89" s="463"/>
      <c r="K89" s="463"/>
      <c r="L89" s="463"/>
      <c r="M89" s="463"/>
      <c r="N89" s="463"/>
      <c r="O89" s="464"/>
      <c r="P89" s="465">
        <f>SUM(P87:S88)</f>
        <v>0</v>
      </c>
      <c r="Q89" s="466"/>
      <c r="R89" s="466"/>
      <c r="S89" s="467"/>
      <c r="T89" s="241"/>
      <c r="U89" s="282" t="s">
        <v>312</v>
      </c>
      <c r="V89" s="241"/>
      <c r="X89" s="272"/>
      <c r="Y89" s="272"/>
      <c r="AB89" s="264"/>
      <c r="AC89" s="242"/>
      <c r="AD89" s="242"/>
      <c r="AE89" s="242"/>
      <c r="AF89" s="242"/>
      <c r="AG89" s="242"/>
      <c r="AH89" s="242"/>
      <c r="AI89" s="242"/>
      <c r="AJ89" s="242"/>
      <c r="AK89" s="242"/>
      <c r="AL89" s="242"/>
      <c r="AM89" s="242"/>
      <c r="AN89" s="242"/>
      <c r="AO89" s="264"/>
      <c r="AP89" s="264"/>
      <c r="AQ89" s="264"/>
    </row>
    <row r="90" spans="1:43" s="241" customFormat="1" ht="14.25" customHeight="1" x14ac:dyDescent="0.2">
      <c r="A90" s="468" t="s">
        <v>169</v>
      </c>
      <c r="B90" s="469"/>
      <c r="C90" s="469"/>
      <c r="D90" s="469"/>
      <c r="E90" s="469"/>
      <c r="F90" s="469"/>
      <c r="G90" s="469"/>
      <c r="H90" s="469"/>
      <c r="I90" s="469"/>
      <c r="J90" s="469"/>
      <c r="K90" s="469"/>
      <c r="L90" s="469"/>
      <c r="M90" s="469"/>
      <c r="N90" s="469"/>
      <c r="O90" s="470"/>
      <c r="P90" s="471">
        <f>SUM(P75+P89+P85+P80)</f>
        <v>0</v>
      </c>
      <c r="Q90" s="472"/>
      <c r="R90" s="472"/>
      <c r="S90" s="473"/>
      <c r="U90" s="281"/>
      <c r="V90" s="273"/>
      <c r="W90" s="274"/>
      <c r="X90" s="274"/>
      <c r="Y90" s="274"/>
      <c r="AB90" s="242"/>
      <c r="AC90" s="242"/>
      <c r="AD90" s="242"/>
      <c r="AE90" s="242"/>
      <c r="AF90" s="242"/>
      <c r="AG90" s="242"/>
      <c r="AH90" s="242"/>
      <c r="AI90" s="242"/>
      <c r="AJ90" s="242"/>
      <c r="AK90" s="242"/>
      <c r="AL90" s="242"/>
      <c r="AM90" s="242"/>
      <c r="AN90" s="242"/>
      <c r="AO90" s="242"/>
      <c r="AP90" s="242"/>
      <c r="AQ90" s="242"/>
    </row>
    <row r="91" spans="1:43" s="241" customFormat="1" ht="14.25" customHeight="1" x14ac:dyDescent="0.3">
      <c r="A91" s="424"/>
      <c r="B91" s="425"/>
      <c r="C91" s="425"/>
      <c r="D91" s="425"/>
      <c r="E91" s="425"/>
      <c r="F91" s="425"/>
      <c r="G91" s="425"/>
      <c r="H91" s="425"/>
      <c r="I91" s="425"/>
      <c r="J91" s="425"/>
      <c r="K91" s="425"/>
      <c r="L91" s="425"/>
      <c r="M91" s="425"/>
      <c r="N91" s="425"/>
      <c r="O91" s="425"/>
      <c r="P91" s="425"/>
      <c r="Q91" s="425"/>
      <c r="R91" s="425"/>
      <c r="S91" s="426"/>
      <c r="V91" s="273"/>
      <c r="W91" s="274"/>
      <c r="X91" s="274"/>
      <c r="Y91" s="274"/>
      <c r="AB91" s="242"/>
      <c r="AC91" s="242"/>
      <c r="AD91" s="242"/>
      <c r="AE91" s="242"/>
      <c r="AF91" s="242"/>
      <c r="AG91" s="242"/>
      <c r="AH91" s="242"/>
      <c r="AI91" s="242"/>
      <c r="AJ91" s="242"/>
      <c r="AK91" s="242"/>
      <c r="AL91" s="242"/>
      <c r="AM91" s="242"/>
      <c r="AN91" s="242"/>
      <c r="AO91" s="242"/>
      <c r="AP91" s="242"/>
      <c r="AQ91" s="242"/>
    </row>
    <row r="92" spans="1:43" s="241" customFormat="1" ht="15" customHeight="1" x14ac:dyDescent="0.2">
      <c r="A92" s="427" t="s">
        <v>311</v>
      </c>
      <c r="B92" s="428"/>
      <c r="C92" s="428"/>
      <c r="D92" s="428"/>
      <c r="E92" s="428"/>
      <c r="F92" s="428"/>
      <c r="G92" s="428"/>
      <c r="H92" s="428"/>
      <c r="I92" s="428"/>
      <c r="J92" s="428"/>
      <c r="K92" s="428"/>
      <c r="L92" s="428"/>
      <c r="M92" s="428"/>
      <c r="N92" s="428"/>
      <c r="O92" s="428"/>
      <c r="P92" s="428"/>
      <c r="Q92" s="428"/>
      <c r="R92" s="428"/>
      <c r="S92" s="429"/>
      <c r="T92" s="263"/>
      <c r="V92" s="273"/>
      <c r="W92" s="274"/>
      <c r="X92" s="274"/>
      <c r="Y92" s="274"/>
      <c r="AB92" s="242"/>
      <c r="AC92" s="242"/>
      <c r="AD92" s="242"/>
      <c r="AE92" s="242"/>
      <c r="AF92" s="242"/>
      <c r="AG92" s="242"/>
      <c r="AH92" s="242"/>
      <c r="AI92" s="242"/>
      <c r="AJ92" s="242"/>
      <c r="AK92" s="242"/>
      <c r="AL92" s="242"/>
      <c r="AM92" s="242"/>
      <c r="AN92" s="242"/>
      <c r="AO92" s="242"/>
      <c r="AP92" s="242"/>
      <c r="AQ92" s="242"/>
    </row>
    <row r="93" spans="1:43" s="263" customFormat="1" ht="12.75" x14ac:dyDescent="0.2">
      <c r="A93" s="430"/>
      <c r="B93" s="431"/>
      <c r="C93" s="431"/>
      <c r="D93" s="431"/>
      <c r="E93" s="431"/>
      <c r="F93" s="431"/>
      <c r="G93" s="431"/>
      <c r="H93" s="431"/>
      <c r="I93" s="431"/>
      <c r="J93" s="431"/>
      <c r="K93" s="431"/>
      <c r="L93" s="431"/>
      <c r="M93" s="431"/>
      <c r="N93" s="431"/>
      <c r="O93" s="431"/>
      <c r="P93" s="431"/>
      <c r="Q93" s="431"/>
      <c r="R93" s="431"/>
      <c r="S93" s="432"/>
      <c r="T93" s="241"/>
      <c r="U93" s="241"/>
      <c r="V93" s="275"/>
      <c r="W93" s="274"/>
      <c r="X93" s="274"/>
      <c r="Y93" s="274"/>
      <c r="Z93" s="241"/>
      <c r="AA93" s="241"/>
      <c r="AB93" s="264"/>
      <c r="AC93" s="242"/>
      <c r="AD93" s="242"/>
      <c r="AE93" s="242"/>
      <c r="AF93" s="242"/>
      <c r="AG93" s="242"/>
      <c r="AH93" s="242"/>
      <c r="AI93" s="242"/>
      <c r="AJ93" s="242"/>
      <c r="AK93" s="242"/>
      <c r="AL93" s="242"/>
      <c r="AM93" s="242"/>
      <c r="AN93" s="242"/>
      <c r="AO93" s="264"/>
      <c r="AP93" s="264"/>
      <c r="AQ93" s="264"/>
    </row>
    <row r="94" spans="1:43" s="241" customFormat="1" ht="12" customHeight="1" x14ac:dyDescent="0.2">
      <c r="A94" s="433"/>
      <c r="B94" s="434"/>
      <c r="C94" s="434"/>
      <c r="D94" s="434"/>
      <c r="E94" s="434"/>
      <c r="F94" s="434"/>
      <c r="G94" s="434"/>
      <c r="H94" s="434"/>
      <c r="I94" s="434"/>
      <c r="J94" s="434"/>
      <c r="K94" s="434"/>
      <c r="L94" s="434"/>
      <c r="M94" s="434"/>
      <c r="N94" s="434"/>
      <c r="O94" s="434"/>
      <c r="P94" s="434"/>
      <c r="Q94" s="434"/>
      <c r="R94" s="434"/>
      <c r="S94" s="435"/>
      <c r="U94" s="230"/>
      <c r="V94" s="275"/>
      <c r="W94" s="276"/>
      <c r="X94" s="276"/>
      <c r="Y94" s="276"/>
      <c r="Z94" s="230"/>
      <c r="AA94" s="230"/>
      <c r="AB94" s="242"/>
      <c r="AC94" s="242"/>
      <c r="AD94" s="242"/>
      <c r="AE94" s="242"/>
      <c r="AF94" s="242"/>
      <c r="AG94" s="242"/>
      <c r="AH94" s="242"/>
      <c r="AI94" s="242"/>
      <c r="AJ94" s="242"/>
      <c r="AK94" s="242"/>
      <c r="AL94" s="242"/>
      <c r="AM94" s="242"/>
      <c r="AN94" s="242"/>
      <c r="AO94" s="242"/>
      <c r="AP94" s="242"/>
      <c r="AQ94" s="242"/>
    </row>
    <row r="95" spans="1:43" s="241" customFormat="1" ht="12" customHeight="1" x14ac:dyDescent="0.25">
      <c r="A95" s="433"/>
      <c r="B95" s="434"/>
      <c r="C95" s="434"/>
      <c r="D95" s="434"/>
      <c r="E95" s="434"/>
      <c r="F95" s="434"/>
      <c r="G95" s="434"/>
      <c r="H95" s="434"/>
      <c r="I95" s="434"/>
      <c r="J95" s="434"/>
      <c r="K95" s="434"/>
      <c r="L95" s="434"/>
      <c r="M95" s="434"/>
      <c r="N95" s="434"/>
      <c r="O95" s="434"/>
      <c r="P95" s="434"/>
      <c r="Q95" s="434"/>
      <c r="R95" s="434"/>
      <c r="S95" s="435"/>
      <c r="U95"/>
      <c r="V95"/>
      <c r="W95"/>
      <c r="X95"/>
      <c r="Y95"/>
      <c r="Z95"/>
      <c r="AA95"/>
      <c r="AB95" s="242"/>
      <c r="AC95" s="242"/>
      <c r="AD95" s="242"/>
      <c r="AE95" s="242"/>
      <c r="AF95" s="242"/>
      <c r="AG95" s="242"/>
      <c r="AH95" s="242"/>
      <c r="AI95" s="242"/>
      <c r="AJ95" s="242"/>
      <c r="AK95" s="242"/>
      <c r="AL95" s="242"/>
      <c r="AM95" s="242"/>
      <c r="AN95" s="242"/>
      <c r="AO95" s="242"/>
      <c r="AP95" s="242"/>
      <c r="AQ95" s="242"/>
    </row>
    <row r="96" spans="1:43" s="241" customFormat="1" ht="12" customHeight="1" x14ac:dyDescent="0.25">
      <c r="A96" s="433"/>
      <c r="B96" s="434"/>
      <c r="C96" s="434"/>
      <c r="D96" s="434"/>
      <c r="E96" s="434"/>
      <c r="F96" s="434"/>
      <c r="G96" s="434"/>
      <c r="H96" s="434"/>
      <c r="I96" s="434"/>
      <c r="J96" s="434"/>
      <c r="K96" s="434"/>
      <c r="L96" s="434"/>
      <c r="M96" s="434"/>
      <c r="N96" s="434"/>
      <c r="O96" s="434"/>
      <c r="P96" s="434"/>
      <c r="Q96" s="434"/>
      <c r="R96" s="434"/>
      <c r="S96" s="435"/>
      <c r="T96" s="230"/>
      <c r="U96"/>
      <c r="V96" s="275"/>
      <c r="W96" s="277"/>
      <c r="X96"/>
      <c r="Y96"/>
      <c r="Z96"/>
      <c r="AA96"/>
      <c r="AB96" s="242"/>
      <c r="AC96" s="242"/>
      <c r="AD96" s="242"/>
      <c r="AE96" s="231"/>
      <c r="AF96" s="242"/>
      <c r="AG96" s="242"/>
      <c r="AH96" s="242"/>
      <c r="AI96" s="242"/>
      <c r="AJ96" s="242"/>
      <c r="AK96" s="242"/>
      <c r="AL96" s="242"/>
      <c r="AM96" s="242"/>
      <c r="AN96" s="242"/>
      <c r="AO96" s="242"/>
      <c r="AP96" s="242"/>
      <c r="AQ96" s="242"/>
    </row>
    <row r="97" spans="1:43" s="230" customFormat="1" ht="12" customHeight="1" x14ac:dyDescent="0.25">
      <c r="A97" s="433"/>
      <c r="B97" s="434"/>
      <c r="C97" s="434"/>
      <c r="D97" s="434"/>
      <c r="E97" s="434"/>
      <c r="F97" s="434"/>
      <c r="G97" s="434"/>
      <c r="H97" s="434"/>
      <c r="I97" s="434"/>
      <c r="J97" s="434"/>
      <c r="K97" s="434"/>
      <c r="L97" s="434"/>
      <c r="M97" s="434"/>
      <c r="N97" s="434"/>
      <c r="O97" s="434"/>
      <c r="P97" s="434"/>
      <c r="Q97" s="434"/>
      <c r="R97" s="434"/>
      <c r="S97" s="435"/>
      <c r="U97"/>
      <c r="V97"/>
      <c r="W97"/>
      <c r="X97"/>
      <c r="Y97"/>
      <c r="Z97"/>
      <c r="AA97"/>
      <c r="AB97" s="231"/>
      <c r="AC97" s="242"/>
      <c r="AD97" s="242"/>
      <c r="AE97" s="231"/>
      <c r="AF97" s="242"/>
      <c r="AG97" s="242"/>
      <c r="AH97" s="242"/>
      <c r="AI97" s="242"/>
      <c r="AJ97" s="242"/>
      <c r="AK97" s="242"/>
      <c r="AL97" s="242"/>
      <c r="AM97" s="242"/>
      <c r="AN97" s="242"/>
      <c r="AO97" s="231"/>
      <c r="AP97" s="231"/>
      <c r="AQ97" s="231"/>
    </row>
    <row r="98" spans="1:43" s="230" customFormat="1" ht="12" customHeight="1" x14ac:dyDescent="0.25">
      <c r="A98" s="433"/>
      <c r="B98" s="434"/>
      <c r="C98" s="434"/>
      <c r="D98" s="434"/>
      <c r="E98" s="434"/>
      <c r="F98" s="434"/>
      <c r="G98" s="434"/>
      <c r="H98" s="434"/>
      <c r="I98" s="434"/>
      <c r="J98" s="434"/>
      <c r="K98" s="434"/>
      <c r="L98" s="434"/>
      <c r="M98" s="434"/>
      <c r="N98" s="434"/>
      <c r="O98" s="434"/>
      <c r="P98" s="434"/>
      <c r="Q98" s="434"/>
      <c r="R98" s="434"/>
      <c r="S98" s="435"/>
      <c r="T98"/>
      <c r="U98"/>
      <c r="V98"/>
      <c r="W98"/>
      <c r="X98"/>
      <c r="Y98"/>
      <c r="Z98"/>
      <c r="AA98"/>
      <c r="AB98" s="231"/>
      <c r="AC98" s="242"/>
      <c r="AD98" s="242"/>
      <c r="AE98" s="13"/>
      <c r="AF98" s="242"/>
      <c r="AG98" s="242"/>
      <c r="AH98" s="242"/>
      <c r="AI98" s="242"/>
      <c r="AJ98" s="242"/>
      <c r="AK98" s="242"/>
      <c r="AL98" s="242"/>
      <c r="AM98" s="242"/>
      <c r="AN98" s="242"/>
      <c r="AO98" s="231"/>
      <c r="AP98" s="231"/>
      <c r="AQ98" s="231"/>
    </row>
    <row r="99" spans="1:43" ht="12" customHeight="1" x14ac:dyDescent="0.25">
      <c r="A99" s="433"/>
      <c r="B99" s="434"/>
      <c r="C99" s="434"/>
      <c r="D99" s="434"/>
      <c r="E99" s="434"/>
      <c r="F99" s="434"/>
      <c r="G99" s="434"/>
      <c r="H99" s="434"/>
      <c r="I99" s="434"/>
      <c r="J99" s="434"/>
      <c r="K99" s="434"/>
      <c r="L99" s="434"/>
      <c r="M99" s="434"/>
      <c r="N99" s="434"/>
      <c r="O99" s="434"/>
      <c r="P99" s="434"/>
      <c r="Q99" s="434"/>
      <c r="R99" s="434"/>
      <c r="S99" s="435"/>
      <c r="Y99" s="278"/>
      <c r="AC99" s="242"/>
      <c r="AD99" s="242"/>
      <c r="AF99" s="242"/>
      <c r="AG99" s="242"/>
      <c r="AH99" s="242"/>
      <c r="AI99" s="242"/>
      <c r="AJ99" s="242"/>
      <c r="AK99" s="242"/>
      <c r="AL99" s="242"/>
      <c r="AM99" s="242"/>
      <c r="AN99" s="242"/>
    </row>
    <row r="100" spans="1:43" ht="12" customHeight="1" x14ac:dyDescent="0.25">
      <c r="A100" s="433"/>
      <c r="B100" s="434"/>
      <c r="C100" s="434"/>
      <c r="D100" s="434"/>
      <c r="E100" s="434"/>
      <c r="F100" s="434"/>
      <c r="G100" s="434"/>
      <c r="H100" s="434"/>
      <c r="I100" s="434"/>
      <c r="J100" s="434"/>
      <c r="K100" s="434"/>
      <c r="L100" s="434"/>
      <c r="M100" s="434"/>
      <c r="N100" s="434"/>
      <c r="O100" s="434"/>
      <c r="P100" s="434"/>
      <c r="Q100" s="434"/>
      <c r="R100" s="434"/>
      <c r="S100" s="435"/>
      <c r="AC100" s="242"/>
      <c r="AD100" s="242"/>
      <c r="AF100" s="242"/>
      <c r="AG100" s="242"/>
      <c r="AH100" s="242"/>
      <c r="AI100" s="242"/>
      <c r="AJ100" s="242"/>
      <c r="AK100" s="242"/>
      <c r="AL100" s="242"/>
      <c r="AM100" s="242"/>
      <c r="AN100" s="242"/>
    </row>
    <row r="101" spans="1:43" ht="12" customHeight="1" x14ac:dyDescent="0.25">
      <c r="A101" s="436"/>
      <c r="B101" s="437"/>
      <c r="C101" s="437"/>
      <c r="D101" s="437"/>
      <c r="E101" s="437"/>
      <c r="F101" s="437"/>
      <c r="G101" s="437"/>
      <c r="H101" s="437"/>
      <c r="I101" s="437"/>
      <c r="J101" s="437"/>
      <c r="K101" s="437"/>
      <c r="L101" s="437"/>
      <c r="M101" s="437"/>
      <c r="N101" s="437"/>
      <c r="O101" s="437"/>
      <c r="P101" s="437"/>
      <c r="Q101" s="437"/>
      <c r="R101" s="437"/>
      <c r="S101" s="438"/>
      <c r="AC101" s="242"/>
      <c r="AD101" s="242"/>
      <c r="AF101" s="242"/>
      <c r="AG101" s="242"/>
      <c r="AH101" s="242"/>
      <c r="AI101" s="242"/>
      <c r="AJ101" s="242"/>
      <c r="AK101" s="242"/>
      <c r="AL101" s="242"/>
      <c r="AM101" s="242"/>
      <c r="AN101" s="242"/>
    </row>
    <row r="102" spans="1:43" ht="12" customHeight="1" x14ac:dyDescent="0.25">
      <c r="AC102" s="242"/>
      <c r="AD102" s="242"/>
      <c r="AF102" s="242"/>
      <c r="AG102" s="242"/>
      <c r="AH102" s="242"/>
      <c r="AI102" s="242"/>
      <c r="AJ102" s="242"/>
      <c r="AK102" s="242"/>
      <c r="AL102" s="242"/>
      <c r="AM102" s="242"/>
      <c r="AN102" s="242"/>
    </row>
    <row r="103" spans="1:43" ht="12" customHeight="1" x14ac:dyDescent="0.25">
      <c r="AC103" s="242"/>
      <c r="AD103" s="242"/>
      <c r="AF103" s="242"/>
      <c r="AG103" s="242"/>
      <c r="AH103" s="242"/>
      <c r="AI103" s="242"/>
      <c r="AJ103" s="242"/>
      <c r="AK103" s="242"/>
      <c r="AL103" s="242"/>
      <c r="AM103" s="242"/>
      <c r="AN103" s="242"/>
    </row>
    <row r="104" spans="1:43" ht="12" customHeight="1" x14ac:dyDescent="0.25">
      <c r="AC104" s="242"/>
      <c r="AD104" s="242"/>
      <c r="AF104" s="242"/>
      <c r="AH104" s="242"/>
      <c r="AI104" s="242"/>
      <c r="AJ104" s="242"/>
      <c r="AK104" s="242"/>
      <c r="AL104" s="242"/>
      <c r="AM104" s="242"/>
      <c r="AN104" s="242"/>
    </row>
    <row r="105" spans="1:43" x14ac:dyDescent="0.25">
      <c r="AC105" s="242"/>
      <c r="AD105" s="242"/>
      <c r="AF105" s="242"/>
      <c r="AG105" s="242"/>
      <c r="AH105" s="242"/>
      <c r="AI105" s="242"/>
      <c r="AJ105" s="242"/>
      <c r="AK105" s="242"/>
      <c r="AL105" s="242"/>
      <c r="AM105" s="242"/>
      <c r="AN105" s="242"/>
    </row>
    <row r="106" spans="1:43" x14ac:dyDescent="0.25">
      <c r="AC106" s="242"/>
      <c r="AD106" s="242"/>
      <c r="AF106" s="242"/>
      <c r="AG106" s="242"/>
      <c r="AH106" s="242"/>
      <c r="AI106" s="242"/>
      <c r="AJ106" s="242"/>
      <c r="AK106" s="242"/>
      <c r="AL106" s="242"/>
      <c r="AM106" s="242"/>
      <c r="AN106" s="242"/>
    </row>
    <row r="107" spans="1:43" x14ac:dyDescent="0.25">
      <c r="AC107" s="242"/>
      <c r="AD107" s="242"/>
      <c r="AF107" s="242"/>
      <c r="AG107" s="242"/>
      <c r="AH107" s="242"/>
      <c r="AI107" s="242"/>
      <c r="AJ107" s="242"/>
      <c r="AK107" s="242"/>
      <c r="AL107" s="242"/>
      <c r="AM107" s="242"/>
      <c r="AN107" s="242"/>
    </row>
    <row r="108" spans="1:43" x14ac:dyDescent="0.25">
      <c r="AC108" s="242"/>
      <c r="AD108" s="242"/>
      <c r="AF108" s="242"/>
      <c r="AG108" s="242"/>
      <c r="AH108" s="242"/>
      <c r="AI108" s="242"/>
      <c r="AJ108" s="242"/>
      <c r="AK108" s="242"/>
      <c r="AL108" s="242"/>
      <c r="AM108" s="242"/>
      <c r="AN108" s="242"/>
    </row>
    <row r="109" spans="1:43" x14ac:dyDescent="0.25">
      <c r="AC109" s="242"/>
      <c r="AD109" s="242"/>
      <c r="AF109" s="242"/>
      <c r="AG109" s="242"/>
      <c r="AH109" s="242"/>
      <c r="AI109" s="242"/>
      <c r="AJ109" s="242"/>
      <c r="AK109" s="242"/>
      <c r="AL109" s="242"/>
      <c r="AM109" s="242"/>
      <c r="AN109" s="242"/>
    </row>
    <row r="110" spans="1:43" x14ac:dyDescent="0.25">
      <c r="AC110" s="242"/>
      <c r="AD110" s="242"/>
      <c r="AF110" s="242"/>
      <c r="AG110" s="242"/>
      <c r="AH110" s="242"/>
      <c r="AI110" s="242"/>
      <c r="AJ110" s="242"/>
      <c r="AK110" s="242"/>
      <c r="AL110" s="242"/>
      <c r="AM110" s="242"/>
      <c r="AN110" s="242"/>
    </row>
    <row r="111" spans="1:43" x14ac:dyDescent="0.25">
      <c r="AF111" s="242"/>
      <c r="AG111" s="242"/>
      <c r="AH111" s="242"/>
      <c r="AI111" s="242"/>
      <c r="AJ111" s="242"/>
      <c r="AK111" s="242"/>
      <c r="AL111" s="242"/>
      <c r="AM111" s="242"/>
      <c r="AN111" s="242"/>
    </row>
    <row r="112" spans="1:43" x14ac:dyDescent="0.25">
      <c r="AF112" s="242"/>
      <c r="AG112" s="242"/>
      <c r="AH112" s="242"/>
      <c r="AI112" s="242"/>
      <c r="AJ112" s="242"/>
      <c r="AK112" s="242"/>
      <c r="AL112" s="242"/>
      <c r="AM112" s="242"/>
      <c r="AN112" s="242"/>
    </row>
    <row r="113" spans="32:40" x14ac:dyDescent="0.25">
      <c r="AF113" s="242"/>
      <c r="AG113" s="242"/>
      <c r="AH113" s="242"/>
      <c r="AI113" s="242"/>
      <c r="AJ113" s="242"/>
      <c r="AK113" s="242"/>
      <c r="AL113" s="242"/>
      <c r="AM113" s="242"/>
      <c r="AN113" s="242"/>
    </row>
    <row r="114" spans="32:40" x14ac:dyDescent="0.25">
      <c r="AF114" s="242"/>
      <c r="AG114" s="242"/>
      <c r="AH114" s="242"/>
      <c r="AI114" s="242"/>
      <c r="AJ114" s="242"/>
      <c r="AK114" s="242"/>
      <c r="AL114" s="242"/>
      <c r="AM114" s="242"/>
      <c r="AN114" s="242"/>
    </row>
    <row r="115" spans="32:40" x14ac:dyDescent="0.25">
      <c r="AF115" s="242"/>
      <c r="AG115" s="242"/>
      <c r="AH115" s="242"/>
      <c r="AI115" s="242"/>
      <c r="AJ115" s="242"/>
      <c r="AK115" s="242"/>
      <c r="AL115" s="242"/>
      <c r="AM115" s="242"/>
      <c r="AN115" s="242"/>
    </row>
    <row r="116" spans="32:40" x14ac:dyDescent="0.25">
      <c r="AF116" s="242"/>
      <c r="AG116" s="242"/>
      <c r="AH116" s="242"/>
      <c r="AI116" s="242"/>
      <c r="AJ116" s="242"/>
      <c r="AK116" s="242"/>
      <c r="AL116" s="242"/>
      <c r="AM116" s="242"/>
      <c r="AN116" s="242"/>
    </row>
    <row r="117" spans="32:40" x14ac:dyDescent="0.25">
      <c r="AF117" s="242"/>
      <c r="AG117" s="242"/>
      <c r="AH117" s="242"/>
      <c r="AI117" s="242"/>
      <c r="AJ117" s="242"/>
      <c r="AK117" s="242"/>
      <c r="AL117" s="242"/>
      <c r="AM117" s="242"/>
      <c r="AN117" s="242"/>
    </row>
    <row r="118" spans="32:40" x14ac:dyDescent="0.25">
      <c r="AF118" s="242"/>
      <c r="AG118" s="242"/>
      <c r="AH118" s="242"/>
      <c r="AI118" s="242"/>
      <c r="AJ118" s="242"/>
      <c r="AK118" s="242"/>
      <c r="AL118" s="242"/>
      <c r="AM118" s="242"/>
      <c r="AN118" s="242"/>
    </row>
    <row r="119" spans="32:40" x14ac:dyDescent="0.25">
      <c r="AF119" s="242"/>
      <c r="AG119" s="242"/>
      <c r="AH119" s="242"/>
      <c r="AI119" s="242"/>
      <c r="AJ119" s="242"/>
      <c r="AK119" s="242"/>
      <c r="AL119" s="242"/>
      <c r="AM119" s="242"/>
      <c r="AN119" s="242"/>
    </row>
    <row r="120" spans="32:40" x14ac:dyDescent="0.25">
      <c r="AF120" s="242"/>
      <c r="AG120" s="242"/>
      <c r="AH120" s="242"/>
      <c r="AI120" s="242"/>
      <c r="AJ120" s="242"/>
      <c r="AK120" s="242"/>
      <c r="AL120" s="242"/>
      <c r="AM120" s="242"/>
      <c r="AN120" s="242"/>
    </row>
    <row r="121" spans="32:40" x14ac:dyDescent="0.25">
      <c r="AF121" s="242"/>
      <c r="AG121" s="242"/>
      <c r="AH121" s="242"/>
      <c r="AI121" s="242"/>
      <c r="AJ121" s="242"/>
      <c r="AK121" s="242"/>
      <c r="AL121" s="242"/>
      <c r="AM121" s="242"/>
      <c r="AN121" s="242"/>
    </row>
    <row r="122" spans="32:40" x14ac:dyDescent="0.25">
      <c r="AF122" s="242"/>
      <c r="AG122" s="242"/>
      <c r="AH122" s="242"/>
      <c r="AI122" s="242"/>
      <c r="AJ122" s="242"/>
      <c r="AK122" s="242"/>
      <c r="AL122" s="242"/>
      <c r="AM122" s="242"/>
      <c r="AN122" s="242"/>
    </row>
    <row r="123" spans="32:40" x14ac:dyDescent="0.25">
      <c r="AF123" s="242"/>
      <c r="AG123" s="242"/>
      <c r="AH123" s="242"/>
      <c r="AI123" s="242"/>
      <c r="AJ123" s="242"/>
      <c r="AK123" s="242"/>
      <c r="AL123" s="242"/>
      <c r="AM123" s="242"/>
      <c r="AN123" s="242"/>
    </row>
    <row r="124" spans="32:40" x14ac:dyDescent="0.25">
      <c r="AF124" s="242"/>
      <c r="AG124" s="242"/>
      <c r="AH124" s="242"/>
      <c r="AI124" s="242"/>
      <c r="AJ124" s="242"/>
      <c r="AK124" s="242"/>
      <c r="AL124" s="242"/>
      <c r="AM124" s="242"/>
      <c r="AN124" s="242"/>
    </row>
    <row r="125" spans="32:40" x14ac:dyDescent="0.25">
      <c r="AF125" s="242"/>
      <c r="AG125" s="242"/>
      <c r="AH125" s="242"/>
      <c r="AI125" s="242"/>
      <c r="AJ125" s="242"/>
      <c r="AK125" s="242"/>
      <c r="AL125" s="242"/>
      <c r="AM125" s="242"/>
      <c r="AN125" s="242"/>
    </row>
    <row r="126" spans="32:40" x14ac:dyDescent="0.25">
      <c r="AF126" s="242"/>
      <c r="AG126" s="242"/>
      <c r="AH126" s="242"/>
      <c r="AI126" s="242"/>
      <c r="AJ126" s="242"/>
      <c r="AK126" s="242"/>
      <c r="AL126" s="242"/>
      <c r="AM126" s="242"/>
      <c r="AN126" s="242"/>
    </row>
    <row r="127" spans="32:40" x14ac:dyDescent="0.25">
      <c r="AF127" s="242"/>
      <c r="AG127" s="242"/>
      <c r="AH127" s="242"/>
      <c r="AI127" s="242"/>
      <c r="AJ127" s="242"/>
      <c r="AK127" s="242"/>
      <c r="AL127" s="242"/>
      <c r="AM127" s="242"/>
      <c r="AN127" s="242"/>
    </row>
    <row r="128" spans="32:40" x14ac:dyDescent="0.25">
      <c r="AF128" s="242"/>
      <c r="AG128" s="242"/>
      <c r="AH128" s="242"/>
      <c r="AI128" s="242"/>
      <c r="AJ128" s="242"/>
      <c r="AK128" s="242"/>
      <c r="AL128" s="242"/>
      <c r="AM128" s="242"/>
      <c r="AN128" s="242"/>
    </row>
    <row r="129" spans="32:40" x14ac:dyDescent="0.25">
      <c r="AF129" s="242"/>
      <c r="AG129" s="242"/>
      <c r="AH129" s="242"/>
      <c r="AI129" s="242"/>
      <c r="AJ129" s="242"/>
      <c r="AK129" s="242"/>
      <c r="AL129" s="242"/>
      <c r="AM129" s="242"/>
      <c r="AN129" s="242"/>
    </row>
    <row r="130" spans="32:40" x14ac:dyDescent="0.25">
      <c r="AF130" s="242"/>
      <c r="AG130" s="242"/>
      <c r="AH130" s="242"/>
      <c r="AI130" s="242"/>
      <c r="AJ130" s="242"/>
      <c r="AK130" s="242"/>
      <c r="AL130" s="242"/>
      <c r="AM130" s="242"/>
      <c r="AN130" s="242"/>
    </row>
    <row r="131" spans="32:40" x14ac:dyDescent="0.25">
      <c r="AF131" s="242"/>
      <c r="AG131" s="242"/>
      <c r="AH131" s="242"/>
      <c r="AI131" s="242"/>
      <c r="AJ131" s="242"/>
      <c r="AK131" s="242"/>
      <c r="AL131" s="242"/>
      <c r="AM131" s="242"/>
      <c r="AN131" s="242"/>
    </row>
    <row r="132" spans="32:40" x14ac:dyDescent="0.25">
      <c r="AF132" s="242"/>
      <c r="AG132" s="242"/>
      <c r="AH132" s="242"/>
      <c r="AI132" s="242"/>
      <c r="AJ132" s="242"/>
      <c r="AK132" s="242"/>
      <c r="AL132" s="242"/>
      <c r="AM132" s="242"/>
      <c r="AN132" s="242"/>
    </row>
    <row r="133" spans="32:40" x14ac:dyDescent="0.25">
      <c r="AF133" s="242"/>
      <c r="AG133" s="242"/>
      <c r="AH133" s="242"/>
      <c r="AI133" s="242"/>
      <c r="AJ133" s="242"/>
      <c r="AK133" s="242"/>
      <c r="AL133" s="242"/>
      <c r="AM133" s="242"/>
      <c r="AN133" s="242"/>
    </row>
    <row r="134" spans="32:40" x14ac:dyDescent="0.25">
      <c r="AF134" s="242"/>
      <c r="AG134" s="242"/>
      <c r="AH134" s="242"/>
      <c r="AI134" s="242"/>
      <c r="AJ134" s="242"/>
      <c r="AK134" s="242"/>
      <c r="AL134" s="242"/>
      <c r="AM134" s="242"/>
      <c r="AN134" s="242"/>
    </row>
    <row r="135" spans="32:40" x14ac:dyDescent="0.25">
      <c r="AF135" s="242"/>
      <c r="AG135" s="242"/>
      <c r="AH135" s="242"/>
      <c r="AI135" s="242"/>
      <c r="AJ135" s="242"/>
      <c r="AK135" s="242"/>
      <c r="AL135" s="242"/>
      <c r="AM135" s="242"/>
      <c r="AN135" s="242"/>
    </row>
    <row r="136" spans="32:40" x14ac:dyDescent="0.25">
      <c r="AF136" s="242"/>
      <c r="AG136" s="242"/>
      <c r="AH136" s="242"/>
      <c r="AI136" s="242"/>
      <c r="AJ136" s="242"/>
      <c r="AK136" s="242"/>
      <c r="AL136" s="242"/>
      <c r="AM136" s="242"/>
      <c r="AN136" s="242"/>
    </row>
    <row r="137" spans="32:40" x14ac:dyDescent="0.25">
      <c r="AF137" s="242"/>
      <c r="AG137" s="242"/>
      <c r="AH137" s="242"/>
      <c r="AI137" s="242"/>
      <c r="AJ137" s="242"/>
      <c r="AK137" s="242"/>
      <c r="AL137" s="242"/>
      <c r="AM137" s="242"/>
      <c r="AN137" s="242"/>
    </row>
    <row r="138" spans="32:40" x14ac:dyDescent="0.25">
      <c r="AF138" s="242"/>
      <c r="AG138" s="242"/>
      <c r="AH138" s="242"/>
      <c r="AI138" s="242"/>
      <c r="AJ138" s="242"/>
      <c r="AK138" s="242"/>
      <c r="AL138" s="242"/>
      <c r="AM138" s="242"/>
      <c r="AN138" s="242"/>
    </row>
    <row r="139" spans="32:40" x14ac:dyDescent="0.25">
      <c r="AF139" s="242"/>
      <c r="AG139" s="242"/>
      <c r="AH139" s="242"/>
      <c r="AI139" s="242"/>
      <c r="AJ139" s="242"/>
      <c r="AK139" s="242"/>
      <c r="AL139" s="242"/>
      <c r="AM139" s="242"/>
      <c r="AN139" s="242"/>
    </row>
    <row r="140" spans="32:40" x14ac:dyDescent="0.25">
      <c r="AF140" s="242"/>
      <c r="AG140" s="242"/>
      <c r="AH140" s="242"/>
      <c r="AI140" s="242"/>
      <c r="AJ140" s="242"/>
      <c r="AK140" s="242"/>
      <c r="AL140" s="242"/>
      <c r="AM140" s="242"/>
      <c r="AN140" s="242"/>
    </row>
    <row r="141" spans="32:40" x14ac:dyDescent="0.25">
      <c r="AF141" s="242"/>
      <c r="AG141" s="242"/>
      <c r="AH141" s="242"/>
      <c r="AI141" s="242"/>
      <c r="AJ141" s="242"/>
      <c r="AK141" s="242"/>
      <c r="AL141" s="242"/>
      <c r="AM141" s="242"/>
      <c r="AN141" s="242"/>
    </row>
    <row r="142" spans="32:40" x14ac:dyDescent="0.25">
      <c r="AF142" s="242"/>
      <c r="AG142" s="242"/>
      <c r="AH142" s="242"/>
      <c r="AI142" s="242"/>
      <c r="AJ142" s="242"/>
      <c r="AK142" s="242"/>
      <c r="AL142" s="242"/>
      <c r="AM142" s="242"/>
      <c r="AN142" s="242"/>
    </row>
    <row r="143" spans="32:40" x14ac:dyDescent="0.25">
      <c r="AF143" s="242"/>
      <c r="AG143" s="242"/>
      <c r="AH143" s="242"/>
      <c r="AI143" s="242"/>
      <c r="AJ143" s="242"/>
      <c r="AK143" s="242"/>
      <c r="AL143" s="242"/>
      <c r="AM143" s="242"/>
      <c r="AN143" s="242"/>
    </row>
    <row r="144" spans="32:40" x14ac:dyDescent="0.25">
      <c r="AF144" s="242"/>
      <c r="AG144" s="242"/>
      <c r="AH144" s="242"/>
      <c r="AI144" s="242"/>
      <c r="AJ144" s="242"/>
      <c r="AK144" s="242"/>
      <c r="AL144" s="242"/>
      <c r="AM144" s="242"/>
      <c r="AN144" s="242"/>
    </row>
    <row r="145" spans="32:40" x14ac:dyDescent="0.25">
      <c r="AF145" s="242"/>
      <c r="AG145" s="242"/>
      <c r="AH145" s="242"/>
      <c r="AI145" s="242"/>
      <c r="AJ145" s="242"/>
      <c r="AK145" s="242"/>
      <c r="AL145" s="242"/>
      <c r="AM145" s="242"/>
      <c r="AN145" s="242"/>
    </row>
    <row r="146" spans="32:40" x14ac:dyDescent="0.25">
      <c r="AF146" s="242"/>
      <c r="AG146" s="242"/>
      <c r="AH146" s="242"/>
      <c r="AI146" s="242"/>
      <c r="AJ146" s="242"/>
      <c r="AK146" s="242"/>
      <c r="AL146" s="242"/>
      <c r="AM146" s="242"/>
      <c r="AN146" s="242"/>
    </row>
    <row r="147" spans="32:40" x14ac:dyDescent="0.25">
      <c r="AF147" s="242"/>
      <c r="AG147" s="242"/>
      <c r="AH147" s="242"/>
      <c r="AI147" s="242"/>
      <c r="AJ147" s="242"/>
      <c r="AK147" s="242"/>
      <c r="AL147" s="242"/>
      <c r="AM147" s="242"/>
      <c r="AN147" s="242"/>
    </row>
    <row r="148" spans="32:40" x14ac:dyDescent="0.25">
      <c r="AF148" s="242"/>
      <c r="AG148" s="242"/>
      <c r="AH148" s="242"/>
      <c r="AI148" s="242"/>
      <c r="AJ148" s="242"/>
      <c r="AK148" s="242"/>
      <c r="AL148" s="242"/>
      <c r="AM148" s="242"/>
      <c r="AN148" s="242"/>
    </row>
    <row r="149" spans="32:40" x14ac:dyDescent="0.25">
      <c r="AF149" s="242"/>
      <c r="AG149" s="242"/>
      <c r="AH149" s="242"/>
      <c r="AI149" s="242"/>
      <c r="AJ149" s="242"/>
      <c r="AK149" s="242"/>
      <c r="AL149" s="242"/>
      <c r="AM149" s="242"/>
      <c r="AN149" s="242"/>
    </row>
    <row r="150" spans="32:40" x14ac:dyDescent="0.25">
      <c r="AF150" s="242"/>
      <c r="AG150" s="242"/>
      <c r="AH150" s="242"/>
      <c r="AI150" s="242"/>
      <c r="AJ150" s="242"/>
      <c r="AK150" s="242"/>
      <c r="AL150" s="242"/>
      <c r="AM150" s="242"/>
      <c r="AN150" s="242"/>
    </row>
    <row r="151" spans="32:40" x14ac:dyDescent="0.25">
      <c r="AF151" s="242"/>
      <c r="AG151" s="242"/>
      <c r="AH151" s="242"/>
      <c r="AI151" s="242"/>
      <c r="AJ151" s="242"/>
      <c r="AK151" s="242"/>
      <c r="AL151" s="242"/>
      <c r="AM151" s="242"/>
      <c r="AN151" s="242"/>
    </row>
    <row r="152" spans="32:40" x14ac:dyDescent="0.25">
      <c r="AF152" s="242"/>
      <c r="AG152" s="242"/>
      <c r="AH152" s="242"/>
      <c r="AI152" s="242"/>
      <c r="AJ152" s="242"/>
      <c r="AK152" s="242"/>
      <c r="AL152" s="242"/>
      <c r="AM152" s="242"/>
      <c r="AN152" s="242"/>
    </row>
    <row r="153" spans="32:40" x14ac:dyDescent="0.25">
      <c r="AF153" s="242"/>
      <c r="AG153" s="242"/>
      <c r="AH153" s="242"/>
      <c r="AI153" s="242"/>
      <c r="AJ153" s="242"/>
      <c r="AK153" s="242"/>
      <c r="AL153" s="242"/>
      <c r="AM153" s="242"/>
      <c r="AN153" s="242"/>
    </row>
    <row r="154" spans="32:40" x14ac:dyDescent="0.25">
      <c r="AF154" s="242"/>
      <c r="AG154" s="242"/>
      <c r="AH154" s="242"/>
      <c r="AI154" s="242"/>
      <c r="AJ154" s="242"/>
      <c r="AK154" s="242"/>
      <c r="AL154" s="242"/>
      <c r="AM154" s="242"/>
      <c r="AN154" s="242"/>
    </row>
    <row r="155" spans="32:40" x14ac:dyDescent="0.25">
      <c r="AF155" s="242"/>
      <c r="AG155" s="242"/>
      <c r="AH155" s="242"/>
      <c r="AI155" s="242"/>
      <c r="AJ155" s="242"/>
      <c r="AK155" s="242"/>
      <c r="AL155" s="242"/>
      <c r="AM155" s="242"/>
      <c r="AN155" s="242"/>
    </row>
    <row r="156" spans="32:40" x14ac:dyDescent="0.25">
      <c r="AF156" s="242"/>
      <c r="AG156" s="242"/>
      <c r="AH156" s="242"/>
      <c r="AI156" s="242"/>
      <c r="AJ156" s="242"/>
      <c r="AK156" s="242"/>
      <c r="AL156" s="242"/>
      <c r="AM156" s="242"/>
      <c r="AN156" s="242"/>
    </row>
    <row r="157" spans="32:40" x14ac:dyDescent="0.25">
      <c r="AF157" s="242"/>
      <c r="AG157" s="242"/>
      <c r="AH157" s="242"/>
      <c r="AI157" s="242"/>
      <c r="AJ157" s="242"/>
      <c r="AK157" s="242"/>
      <c r="AL157" s="242"/>
      <c r="AM157" s="242"/>
      <c r="AN157" s="242"/>
    </row>
    <row r="158" spans="32:40" x14ac:dyDescent="0.25">
      <c r="AF158" s="242"/>
      <c r="AG158" s="242"/>
      <c r="AH158" s="242"/>
      <c r="AI158" s="242"/>
      <c r="AJ158" s="242"/>
      <c r="AK158" s="242"/>
      <c r="AL158" s="242"/>
      <c r="AM158" s="242"/>
      <c r="AN158" s="242"/>
    </row>
    <row r="159" spans="32:40" x14ac:dyDescent="0.25">
      <c r="AF159" s="242"/>
      <c r="AG159" s="242"/>
      <c r="AH159" s="242"/>
      <c r="AI159" s="242"/>
      <c r="AJ159" s="242"/>
      <c r="AK159" s="242"/>
      <c r="AL159" s="242"/>
      <c r="AM159" s="242"/>
      <c r="AN159" s="242"/>
    </row>
    <row r="160" spans="32:40" x14ac:dyDescent="0.25">
      <c r="AF160" s="242"/>
      <c r="AG160" s="242"/>
      <c r="AH160" s="242"/>
      <c r="AI160" s="242"/>
      <c r="AJ160" s="242"/>
      <c r="AK160" s="242"/>
      <c r="AL160" s="242"/>
      <c r="AM160" s="242"/>
      <c r="AN160" s="242"/>
    </row>
    <row r="161" spans="32:40" x14ac:dyDescent="0.25">
      <c r="AF161" s="242"/>
      <c r="AG161" s="242"/>
      <c r="AH161" s="242"/>
      <c r="AI161" s="242"/>
      <c r="AJ161" s="242"/>
      <c r="AK161" s="242"/>
      <c r="AL161" s="242"/>
      <c r="AM161" s="242"/>
      <c r="AN161" s="242"/>
    </row>
    <row r="162" spans="32:40" x14ac:dyDescent="0.25">
      <c r="AF162" s="242"/>
      <c r="AG162" s="242"/>
      <c r="AH162" s="242"/>
      <c r="AI162" s="242"/>
      <c r="AJ162" s="242"/>
      <c r="AK162" s="242"/>
      <c r="AL162" s="242"/>
      <c r="AM162" s="242"/>
      <c r="AN162" s="242"/>
    </row>
    <row r="163" spans="32:40" x14ac:dyDescent="0.25">
      <c r="AF163" s="242"/>
      <c r="AG163" s="242"/>
      <c r="AH163" s="242"/>
      <c r="AI163" s="242"/>
      <c r="AJ163" s="242"/>
      <c r="AK163" s="242"/>
      <c r="AL163" s="242"/>
      <c r="AM163" s="242"/>
      <c r="AN163" s="242"/>
    </row>
    <row r="164" spans="32:40" x14ac:dyDescent="0.25">
      <c r="AF164" s="242"/>
      <c r="AG164" s="242"/>
      <c r="AH164" s="242"/>
      <c r="AI164" s="242"/>
      <c r="AJ164" s="242"/>
      <c r="AK164" s="242"/>
      <c r="AL164" s="242"/>
      <c r="AM164" s="242"/>
      <c r="AN164" s="242"/>
    </row>
    <row r="165" spans="32:40" x14ac:dyDescent="0.25">
      <c r="AF165" s="242"/>
      <c r="AG165" s="242"/>
      <c r="AH165" s="242"/>
      <c r="AI165" s="242"/>
      <c r="AJ165" s="242"/>
      <c r="AK165" s="242"/>
      <c r="AL165" s="242"/>
      <c r="AM165" s="242"/>
      <c r="AN165" s="242"/>
    </row>
    <row r="166" spans="32:40" x14ac:dyDescent="0.25">
      <c r="AF166" s="242"/>
      <c r="AG166" s="242"/>
      <c r="AH166" s="242"/>
      <c r="AI166" s="242"/>
      <c r="AJ166" s="242"/>
      <c r="AK166" s="242"/>
      <c r="AL166" s="242"/>
      <c r="AM166" s="242"/>
      <c r="AN166" s="242"/>
    </row>
    <row r="167" spans="32:40" x14ac:dyDescent="0.25">
      <c r="AF167" s="242"/>
      <c r="AG167" s="242"/>
      <c r="AH167" s="242"/>
      <c r="AI167" s="242"/>
      <c r="AJ167" s="242"/>
      <c r="AK167" s="242"/>
      <c r="AL167" s="242"/>
      <c r="AM167" s="242"/>
      <c r="AN167" s="242"/>
    </row>
    <row r="168" spans="32:40" x14ac:dyDescent="0.25">
      <c r="AF168" s="242"/>
      <c r="AG168" s="242"/>
      <c r="AH168" s="242"/>
      <c r="AI168" s="242"/>
      <c r="AJ168" s="242"/>
      <c r="AK168" s="242"/>
      <c r="AL168" s="242"/>
      <c r="AM168" s="242"/>
      <c r="AN168" s="242"/>
    </row>
    <row r="169" spans="32:40" x14ac:dyDescent="0.25">
      <c r="AF169" s="242"/>
      <c r="AG169" s="242"/>
      <c r="AH169" s="242"/>
      <c r="AI169" s="242"/>
      <c r="AJ169" s="242"/>
      <c r="AK169" s="242"/>
      <c r="AL169" s="242"/>
      <c r="AM169" s="242"/>
      <c r="AN169" s="242"/>
    </row>
    <row r="170" spans="32:40" x14ac:dyDescent="0.25">
      <c r="AF170" s="242"/>
      <c r="AG170" s="242"/>
      <c r="AH170" s="242"/>
      <c r="AI170" s="242"/>
      <c r="AJ170" s="242"/>
      <c r="AK170" s="242"/>
      <c r="AL170" s="242"/>
      <c r="AM170" s="242"/>
      <c r="AN170" s="242"/>
    </row>
    <row r="171" spans="32:40" x14ac:dyDescent="0.25">
      <c r="AF171" s="242"/>
      <c r="AG171" s="242"/>
      <c r="AH171" s="242"/>
      <c r="AI171" s="242"/>
      <c r="AJ171" s="242"/>
      <c r="AK171" s="242"/>
      <c r="AL171" s="242"/>
      <c r="AM171" s="242"/>
      <c r="AN171" s="242"/>
    </row>
    <row r="172" spans="32:40" x14ac:dyDescent="0.25">
      <c r="AF172" s="242"/>
      <c r="AG172" s="242"/>
      <c r="AH172" s="242"/>
      <c r="AI172" s="242"/>
      <c r="AJ172" s="242"/>
      <c r="AK172" s="242"/>
      <c r="AL172" s="242"/>
      <c r="AM172" s="242"/>
      <c r="AN172" s="242"/>
    </row>
    <row r="173" spans="32:40" x14ac:dyDescent="0.25">
      <c r="AF173" s="242"/>
      <c r="AG173" s="242"/>
      <c r="AH173" s="242"/>
      <c r="AI173" s="242"/>
      <c r="AJ173" s="242"/>
      <c r="AK173" s="242"/>
      <c r="AL173" s="242"/>
      <c r="AM173" s="242"/>
      <c r="AN173" s="242"/>
    </row>
    <row r="174" spans="32:40" x14ac:dyDescent="0.25">
      <c r="AF174" s="242"/>
      <c r="AG174" s="242"/>
      <c r="AH174" s="242"/>
      <c r="AI174" s="242"/>
      <c r="AJ174" s="242"/>
      <c r="AK174" s="242"/>
      <c r="AL174" s="242"/>
      <c r="AM174" s="242"/>
      <c r="AN174" s="242"/>
    </row>
    <row r="175" spans="32:40" x14ac:dyDescent="0.25">
      <c r="AF175" s="242"/>
      <c r="AG175" s="242"/>
      <c r="AH175" s="242"/>
      <c r="AI175" s="242"/>
      <c r="AJ175" s="242"/>
      <c r="AK175" s="242"/>
      <c r="AL175" s="242"/>
      <c r="AM175" s="242"/>
      <c r="AN175" s="242"/>
    </row>
    <row r="176" spans="32:40" x14ac:dyDescent="0.25">
      <c r="AF176" s="242"/>
      <c r="AG176" s="242"/>
      <c r="AH176" s="242"/>
      <c r="AI176" s="242"/>
      <c r="AJ176" s="242"/>
      <c r="AK176" s="242"/>
      <c r="AL176" s="242"/>
      <c r="AM176" s="242"/>
      <c r="AN176" s="242"/>
    </row>
    <row r="177" spans="32:40" x14ac:dyDescent="0.25">
      <c r="AF177" s="242"/>
      <c r="AG177" s="242"/>
      <c r="AH177" s="242"/>
      <c r="AI177" s="242"/>
      <c r="AJ177" s="242"/>
      <c r="AK177" s="242"/>
      <c r="AL177" s="242"/>
      <c r="AM177" s="242"/>
      <c r="AN177" s="242"/>
    </row>
    <row r="178" spans="32:40" x14ac:dyDescent="0.25">
      <c r="AF178" s="242"/>
      <c r="AG178" s="242"/>
      <c r="AH178" s="242"/>
      <c r="AI178" s="242"/>
      <c r="AJ178" s="242"/>
      <c r="AK178" s="242"/>
      <c r="AL178" s="242"/>
      <c r="AM178" s="242"/>
      <c r="AN178" s="242"/>
    </row>
    <row r="179" spans="32:40" x14ac:dyDescent="0.25">
      <c r="AF179" s="242"/>
      <c r="AG179" s="242"/>
      <c r="AH179" s="242"/>
      <c r="AI179" s="242"/>
      <c r="AJ179" s="242"/>
      <c r="AK179" s="242"/>
      <c r="AL179" s="242"/>
      <c r="AM179" s="242"/>
      <c r="AN179" s="242"/>
    </row>
    <row r="180" spans="32:40" x14ac:dyDescent="0.25">
      <c r="AF180" s="242"/>
      <c r="AG180" s="242"/>
      <c r="AH180" s="242"/>
      <c r="AI180" s="242"/>
      <c r="AJ180" s="242"/>
      <c r="AK180" s="242"/>
      <c r="AL180" s="242"/>
      <c r="AM180" s="242"/>
      <c r="AN180" s="242"/>
    </row>
    <row r="181" spans="32:40" x14ac:dyDescent="0.25">
      <c r="AF181" s="242"/>
      <c r="AG181" s="242"/>
      <c r="AH181" s="242"/>
      <c r="AI181" s="242"/>
      <c r="AJ181" s="242"/>
      <c r="AK181" s="242"/>
      <c r="AL181" s="242"/>
      <c r="AM181" s="242"/>
      <c r="AN181" s="242"/>
    </row>
    <row r="182" spans="32:40" x14ac:dyDescent="0.25">
      <c r="AF182" s="242"/>
      <c r="AG182" s="242"/>
      <c r="AH182" s="242"/>
      <c r="AI182" s="242"/>
      <c r="AJ182" s="242"/>
      <c r="AK182" s="242"/>
      <c r="AL182" s="242"/>
      <c r="AM182" s="242"/>
      <c r="AN182" s="242"/>
    </row>
    <row r="183" spans="32:40" x14ac:dyDescent="0.25">
      <c r="AF183" s="242"/>
    </row>
    <row r="184" spans="32:40" x14ac:dyDescent="0.25">
      <c r="AF184" s="242"/>
    </row>
    <row r="185" spans="32:40" x14ac:dyDescent="0.25">
      <c r="AF185" s="242"/>
    </row>
    <row r="186" spans="32:40" x14ac:dyDescent="0.25">
      <c r="AF186" s="242"/>
    </row>
    <row r="187" spans="32:40" x14ac:dyDescent="0.25">
      <c r="AF187" s="242"/>
    </row>
    <row r="188" spans="32:40" x14ac:dyDescent="0.25">
      <c r="AF188" s="242"/>
    </row>
    <row r="189" spans="32:40" x14ac:dyDescent="0.25">
      <c r="AF189" s="242"/>
    </row>
    <row r="190" spans="32:40" x14ac:dyDescent="0.25">
      <c r="AF190" s="242"/>
    </row>
    <row r="191" spans="32:40" x14ac:dyDescent="0.25">
      <c r="AF191" s="242"/>
    </row>
    <row r="192" spans="32:40" x14ac:dyDescent="0.25">
      <c r="AF192" s="242"/>
    </row>
    <row r="193" spans="32:32" x14ac:dyDescent="0.25">
      <c r="AF193" s="242"/>
    </row>
    <row r="194" spans="32:32" x14ac:dyDescent="0.25">
      <c r="AF194" s="242"/>
    </row>
    <row r="195" spans="32:32" x14ac:dyDescent="0.25">
      <c r="AF195" s="242"/>
    </row>
    <row r="196" spans="32:32" x14ac:dyDescent="0.25">
      <c r="AF196" s="242"/>
    </row>
    <row r="197" spans="32:32" x14ac:dyDescent="0.25">
      <c r="AF197" s="242"/>
    </row>
    <row r="198" spans="32:32" x14ac:dyDescent="0.25">
      <c r="AF198" s="242"/>
    </row>
    <row r="199" spans="32:32" x14ac:dyDescent="0.25">
      <c r="AF199" s="242"/>
    </row>
    <row r="200" spans="32:32" x14ac:dyDescent="0.25">
      <c r="AF200" s="242"/>
    </row>
    <row r="201" spans="32:32" x14ac:dyDescent="0.25">
      <c r="AF201" s="242"/>
    </row>
    <row r="202" spans="32:32" x14ac:dyDescent="0.25">
      <c r="AF202" s="242"/>
    </row>
    <row r="203" spans="32:32" x14ac:dyDescent="0.25">
      <c r="AF203" s="242"/>
    </row>
    <row r="204" spans="32:32" x14ac:dyDescent="0.25">
      <c r="AF204" s="242"/>
    </row>
    <row r="205" spans="32:32" x14ac:dyDescent="0.25">
      <c r="AF205" s="242"/>
    </row>
    <row r="206" spans="32:32" x14ac:dyDescent="0.25">
      <c r="AF206" s="242"/>
    </row>
    <row r="207" spans="32:32" x14ac:dyDescent="0.25">
      <c r="AF207" s="242"/>
    </row>
    <row r="208" spans="32:32" x14ac:dyDescent="0.25">
      <c r="AF208" s="242"/>
    </row>
    <row r="209" spans="32:32" x14ac:dyDescent="0.25">
      <c r="AF209" s="242"/>
    </row>
    <row r="210" spans="32:32" x14ac:dyDescent="0.25">
      <c r="AF210" s="242"/>
    </row>
    <row r="211" spans="32:32" x14ac:dyDescent="0.25">
      <c r="AF211" s="242"/>
    </row>
    <row r="212" spans="32:32" x14ac:dyDescent="0.25">
      <c r="AF212" s="242"/>
    </row>
    <row r="213" spans="32:32" x14ac:dyDescent="0.25">
      <c r="AF213" s="242"/>
    </row>
    <row r="214" spans="32:32" x14ac:dyDescent="0.25">
      <c r="AF214" s="242"/>
    </row>
    <row r="215" spans="32:32" x14ac:dyDescent="0.25">
      <c r="AF215" s="242"/>
    </row>
    <row r="216" spans="32:32" x14ac:dyDescent="0.25">
      <c r="AF216" s="242"/>
    </row>
    <row r="217" spans="32:32" x14ac:dyDescent="0.25">
      <c r="AF217" s="242"/>
    </row>
    <row r="218" spans="32:32" x14ac:dyDescent="0.25">
      <c r="AF218" s="242"/>
    </row>
    <row r="219" spans="32:32" x14ac:dyDescent="0.25">
      <c r="AF219" s="242"/>
    </row>
    <row r="220" spans="32:32" x14ac:dyDescent="0.25">
      <c r="AF220" s="242"/>
    </row>
    <row r="221" spans="32:32" x14ac:dyDescent="0.25">
      <c r="AF221" s="242"/>
    </row>
    <row r="222" spans="32:32" x14ac:dyDescent="0.25">
      <c r="AF222" s="242"/>
    </row>
    <row r="223" spans="32:32" x14ac:dyDescent="0.25">
      <c r="AF223" s="242"/>
    </row>
    <row r="224" spans="32:32" x14ac:dyDescent="0.25">
      <c r="AF224" s="242"/>
    </row>
    <row r="225" spans="32:32" x14ac:dyDescent="0.25">
      <c r="AF225" s="242"/>
    </row>
    <row r="226" spans="32:32" x14ac:dyDescent="0.25">
      <c r="AF226" s="242"/>
    </row>
    <row r="227" spans="32:32" x14ac:dyDescent="0.25">
      <c r="AF227" s="242"/>
    </row>
    <row r="228" spans="32:32" x14ac:dyDescent="0.25">
      <c r="AF228" s="242"/>
    </row>
    <row r="229" spans="32:32" x14ac:dyDescent="0.25">
      <c r="AF229" s="242"/>
    </row>
    <row r="230" spans="32:32" x14ac:dyDescent="0.25">
      <c r="AF230" s="242"/>
    </row>
    <row r="231" spans="32:32" x14ac:dyDescent="0.25">
      <c r="AF231" s="242"/>
    </row>
    <row r="232" spans="32:32" x14ac:dyDescent="0.25">
      <c r="AF232" s="242"/>
    </row>
    <row r="233" spans="32:32" x14ac:dyDescent="0.25">
      <c r="AF233" s="242"/>
    </row>
    <row r="234" spans="32:32" x14ac:dyDescent="0.25">
      <c r="AF234" s="242"/>
    </row>
    <row r="235" spans="32:32" x14ac:dyDescent="0.25">
      <c r="AF235" s="242"/>
    </row>
    <row r="236" spans="32:32" x14ac:dyDescent="0.25">
      <c r="AF236" s="242"/>
    </row>
    <row r="237" spans="32:32" x14ac:dyDescent="0.25">
      <c r="AF237" s="242"/>
    </row>
    <row r="238" spans="32:32" x14ac:dyDescent="0.25">
      <c r="AF238" s="242"/>
    </row>
    <row r="239" spans="32:32" x14ac:dyDescent="0.25">
      <c r="AF239" s="242"/>
    </row>
    <row r="240" spans="32:32" x14ac:dyDescent="0.25">
      <c r="AF240" s="242"/>
    </row>
    <row r="241" spans="32:32" x14ac:dyDescent="0.25">
      <c r="AF241" s="242"/>
    </row>
    <row r="242" spans="32:32" x14ac:dyDescent="0.25">
      <c r="AF242" s="242"/>
    </row>
    <row r="243" spans="32:32" x14ac:dyDescent="0.25">
      <c r="AF243" s="242"/>
    </row>
    <row r="244" spans="32:32" x14ac:dyDescent="0.25">
      <c r="AF244" s="242"/>
    </row>
    <row r="245" spans="32:32" x14ac:dyDescent="0.25">
      <c r="AF245" s="242"/>
    </row>
    <row r="246" spans="32:32" x14ac:dyDescent="0.25">
      <c r="AF246" s="242"/>
    </row>
    <row r="247" spans="32:32" x14ac:dyDescent="0.25">
      <c r="AF247" s="242"/>
    </row>
    <row r="248" spans="32:32" x14ac:dyDescent="0.25">
      <c r="AF248" s="242"/>
    </row>
    <row r="249" spans="32:32" x14ac:dyDescent="0.25">
      <c r="AF249" s="242"/>
    </row>
    <row r="250" spans="32:32" x14ac:dyDescent="0.25">
      <c r="AF250" s="242"/>
    </row>
    <row r="251" spans="32:32" x14ac:dyDescent="0.25">
      <c r="AF251" s="242"/>
    </row>
    <row r="252" spans="32:32" x14ac:dyDescent="0.25">
      <c r="AF252" s="242"/>
    </row>
    <row r="253" spans="32:32" x14ac:dyDescent="0.25">
      <c r="AF253" s="242"/>
    </row>
    <row r="254" spans="32:32" x14ac:dyDescent="0.25">
      <c r="AF254" s="242"/>
    </row>
    <row r="255" spans="32:32" x14ac:dyDescent="0.25">
      <c r="AF255" s="242"/>
    </row>
    <row r="256" spans="32:32" x14ac:dyDescent="0.25">
      <c r="AF256" s="242"/>
    </row>
    <row r="257" spans="32:32" x14ac:dyDescent="0.25">
      <c r="AF257" s="242"/>
    </row>
    <row r="258" spans="32:32" x14ac:dyDescent="0.25">
      <c r="AF258" s="242"/>
    </row>
    <row r="259" spans="32:32" x14ac:dyDescent="0.25">
      <c r="AF259" s="242"/>
    </row>
    <row r="260" spans="32:32" x14ac:dyDescent="0.25">
      <c r="AF260" s="242"/>
    </row>
    <row r="261" spans="32:32" x14ac:dyDescent="0.25">
      <c r="AF261" s="242"/>
    </row>
    <row r="262" spans="32:32" x14ac:dyDescent="0.25">
      <c r="AF262" s="242"/>
    </row>
    <row r="263" spans="32:32" x14ac:dyDescent="0.25">
      <c r="AF263" s="242"/>
    </row>
    <row r="264" spans="32:32" x14ac:dyDescent="0.25">
      <c r="AF264" s="242"/>
    </row>
    <row r="265" spans="32:32" x14ac:dyDescent="0.25">
      <c r="AF265" s="242"/>
    </row>
    <row r="266" spans="32:32" x14ac:dyDescent="0.25">
      <c r="AF266" s="242"/>
    </row>
    <row r="267" spans="32:32" x14ac:dyDescent="0.25">
      <c r="AF267" s="242"/>
    </row>
    <row r="268" spans="32:32" x14ac:dyDescent="0.25">
      <c r="AF268" s="242"/>
    </row>
    <row r="269" spans="32:32" x14ac:dyDescent="0.25">
      <c r="AF269" s="242"/>
    </row>
    <row r="270" spans="32:32" x14ac:dyDescent="0.25">
      <c r="AF270" s="242"/>
    </row>
    <row r="271" spans="32:32" x14ac:dyDescent="0.25">
      <c r="AF271" s="242"/>
    </row>
    <row r="272" spans="32:32" x14ac:dyDescent="0.25">
      <c r="AF272" s="242"/>
    </row>
    <row r="273" spans="32:32" x14ac:dyDescent="0.25">
      <c r="AF273" s="242"/>
    </row>
    <row r="274" spans="32:32" x14ac:dyDescent="0.25">
      <c r="AF274" s="242"/>
    </row>
    <row r="275" spans="32:32" x14ac:dyDescent="0.25">
      <c r="AF275" s="242"/>
    </row>
    <row r="276" spans="32:32" x14ac:dyDescent="0.25">
      <c r="AF276" s="242"/>
    </row>
    <row r="277" spans="32:32" x14ac:dyDescent="0.25">
      <c r="AF277" s="242"/>
    </row>
    <row r="278" spans="32:32" x14ac:dyDescent="0.25">
      <c r="AF278" s="242"/>
    </row>
    <row r="279" spans="32:32" x14ac:dyDescent="0.25">
      <c r="AF279" s="242"/>
    </row>
    <row r="280" spans="32:32" x14ac:dyDescent="0.25">
      <c r="AF280" s="242"/>
    </row>
    <row r="281" spans="32:32" x14ac:dyDescent="0.25">
      <c r="AF281" s="242"/>
    </row>
    <row r="282" spans="32:32" x14ac:dyDescent="0.25">
      <c r="AF282" s="242"/>
    </row>
    <row r="283" spans="32:32" x14ac:dyDescent="0.25">
      <c r="AF283" s="242"/>
    </row>
    <row r="284" spans="32:32" x14ac:dyDescent="0.25">
      <c r="AF284" s="242"/>
    </row>
    <row r="285" spans="32:32" x14ac:dyDescent="0.25">
      <c r="AF285" s="242"/>
    </row>
    <row r="286" spans="32:32" x14ac:dyDescent="0.25">
      <c r="AF286" s="242"/>
    </row>
    <row r="287" spans="32:32" x14ac:dyDescent="0.25">
      <c r="AF287" s="242"/>
    </row>
    <row r="288" spans="32:32" x14ac:dyDescent="0.25">
      <c r="AF288" s="242"/>
    </row>
    <row r="289" spans="32:32" x14ac:dyDescent="0.25">
      <c r="AF289" s="242"/>
    </row>
    <row r="290" spans="32:32" x14ac:dyDescent="0.25">
      <c r="AF290" s="242"/>
    </row>
    <row r="291" spans="32:32" x14ac:dyDescent="0.25">
      <c r="AF291" s="242"/>
    </row>
    <row r="292" spans="32:32" x14ac:dyDescent="0.25">
      <c r="AF292" s="242"/>
    </row>
    <row r="293" spans="32:32" x14ac:dyDescent="0.25">
      <c r="AF293" s="242"/>
    </row>
    <row r="294" spans="32:32" x14ac:dyDescent="0.25">
      <c r="AF294" s="242"/>
    </row>
    <row r="295" spans="32:32" x14ac:dyDescent="0.25">
      <c r="AF295" s="242"/>
    </row>
    <row r="296" spans="32:32" x14ac:dyDescent="0.25">
      <c r="AF296" s="242"/>
    </row>
    <row r="297" spans="32:32" x14ac:dyDescent="0.25">
      <c r="AF297" s="242"/>
    </row>
    <row r="298" spans="32:32" x14ac:dyDescent="0.25">
      <c r="AF298" s="242"/>
    </row>
    <row r="299" spans="32:32" x14ac:dyDescent="0.25">
      <c r="AF299" s="242"/>
    </row>
    <row r="300" spans="32:32" x14ac:dyDescent="0.25">
      <c r="AF300" s="242"/>
    </row>
    <row r="301" spans="32:32" x14ac:dyDescent="0.25">
      <c r="AF301" s="242"/>
    </row>
    <row r="302" spans="32:32" x14ac:dyDescent="0.25">
      <c r="AF302" s="242"/>
    </row>
    <row r="303" spans="32:32" x14ac:dyDescent="0.25">
      <c r="AF303" s="242"/>
    </row>
    <row r="304" spans="32:32" x14ac:dyDescent="0.25">
      <c r="AF304" s="242"/>
    </row>
    <row r="305" spans="32:32" x14ac:dyDescent="0.25">
      <c r="AF305" s="242"/>
    </row>
    <row r="306" spans="32:32" x14ac:dyDescent="0.25">
      <c r="AF306" s="242"/>
    </row>
    <row r="307" spans="32:32" x14ac:dyDescent="0.25">
      <c r="AF307" s="242"/>
    </row>
    <row r="308" spans="32:32" x14ac:dyDescent="0.25">
      <c r="AF308" s="242"/>
    </row>
    <row r="309" spans="32:32" x14ac:dyDescent="0.25">
      <c r="AF309" s="242"/>
    </row>
    <row r="310" spans="32:32" x14ac:dyDescent="0.25">
      <c r="AF310" s="242"/>
    </row>
    <row r="311" spans="32:32" x14ac:dyDescent="0.25">
      <c r="AF311" s="242"/>
    </row>
    <row r="312" spans="32:32" x14ac:dyDescent="0.25">
      <c r="AF312" s="242"/>
    </row>
    <row r="313" spans="32:32" x14ac:dyDescent="0.25">
      <c r="AF313" s="242"/>
    </row>
    <row r="314" spans="32:32" x14ac:dyDescent="0.25">
      <c r="AF314" s="242"/>
    </row>
    <row r="315" spans="32:32" x14ac:dyDescent="0.25">
      <c r="AF315" s="242"/>
    </row>
    <row r="316" spans="32:32" x14ac:dyDescent="0.25">
      <c r="AF316" s="242"/>
    </row>
    <row r="317" spans="32:32" x14ac:dyDescent="0.25">
      <c r="AF317" s="242"/>
    </row>
    <row r="318" spans="32:32" x14ac:dyDescent="0.25">
      <c r="AF318" s="242"/>
    </row>
    <row r="319" spans="32:32" x14ac:dyDescent="0.25">
      <c r="AF319" s="242"/>
    </row>
    <row r="320" spans="32:32" x14ac:dyDescent="0.25">
      <c r="AF320" s="242"/>
    </row>
    <row r="321" spans="32:32" x14ac:dyDescent="0.25">
      <c r="AF321" s="242"/>
    </row>
    <row r="322" spans="32:32" x14ac:dyDescent="0.25">
      <c r="AF322" s="242"/>
    </row>
    <row r="323" spans="32:32" x14ac:dyDescent="0.25">
      <c r="AF323" s="242"/>
    </row>
    <row r="324" spans="32:32" x14ac:dyDescent="0.25">
      <c r="AF324" s="242"/>
    </row>
    <row r="325" spans="32:32" x14ac:dyDescent="0.25">
      <c r="AF325" s="242"/>
    </row>
    <row r="326" spans="32:32" x14ac:dyDescent="0.25">
      <c r="AF326" s="242"/>
    </row>
    <row r="327" spans="32:32" x14ac:dyDescent="0.25">
      <c r="AF327" s="242"/>
    </row>
    <row r="328" spans="32:32" x14ac:dyDescent="0.25">
      <c r="AF328" s="242"/>
    </row>
    <row r="329" spans="32:32" x14ac:dyDescent="0.25">
      <c r="AF329" s="242"/>
    </row>
    <row r="330" spans="32:32" x14ac:dyDescent="0.25">
      <c r="AF330" s="242"/>
    </row>
    <row r="331" spans="32:32" x14ac:dyDescent="0.25">
      <c r="AF331" s="242"/>
    </row>
    <row r="332" spans="32:32" x14ac:dyDescent="0.25">
      <c r="AF332" s="242"/>
    </row>
    <row r="333" spans="32:32" x14ac:dyDescent="0.25">
      <c r="AF333" s="242"/>
    </row>
    <row r="334" spans="32:32" x14ac:dyDescent="0.25">
      <c r="AF334" s="242"/>
    </row>
    <row r="335" spans="32:32" x14ac:dyDescent="0.25">
      <c r="AF335" s="242"/>
    </row>
    <row r="336" spans="32:32" x14ac:dyDescent="0.25">
      <c r="AF336" s="242"/>
    </row>
    <row r="337" spans="32:32" x14ac:dyDescent="0.25">
      <c r="AF337" s="242"/>
    </row>
    <row r="338" spans="32:32" x14ac:dyDescent="0.25">
      <c r="AF338" s="242"/>
    </row>
    <row r="339" spans="32:32" x14ac:dyDescent="0.25">
      <c r="AF339" s="242"/>
    </row>
    <row r="340" spans="32:32" x14ac:dyDescent="0.25">
      <c r="AF340" s="242"/>
    </row>
    <row r="341" spans="32:32" x14ac:dyDescent="0.25">
      <c r="AF341" s="242"/>
    </row>
    <row r="342" spans="32:32" x14ac:dyDescent="0.25">
      <c r="AF342" s="242"/>
    </row>
    <row r="343" spans="32:32" x14ac:dyDescent="0.25">
      <c r="AF343" s="242"/>
    </row>
    <row r="344" spans="32:32" x14ac:dyDescent="0.25">
      <c r="AF344" s="242"/>
    </row>
    <row r="345" spans="32:32" x14ac:dyDescent="0.25">
      <c r="AF345" s="242"/>
    </row>
    <row r="346" spans="32:32" x14ac:dyDescent="0.25">
      <c r="AF346" s="242"/>
    </row>
    <row r="347" spans="32:32" x14ac:dyDescent="0.25">
      <c r="AF347" s="242"/>
    </row>
    <row r="348" spans="32:32" x14ac:dyDescent="0.25">
      <c r="AF348" s="242"/>
    </row>
    <row r="349" spans="32:32" x14ac:dyDescent="0.25">
      <c r="AF349" s="242"/>
    </row>
    <row r="350" spans="32:32" x14ac:dyDescent="0.25">
      <c r="AF350" s="242"/>
    </row>
    <row r="351" spans="32:32" x14ac:dyDescent="0.25">
      <c r="AF351" s="242"/>
    </row>
    <row r="352" spans="32:32" x14ac:dyDescent="0.25">
      <c r="AF352" s="242"/>
    </row>
    <row r="353" spans="32:32" x14ac:dyDescent="0.25">
      <c r="AF353" s="242"/>
    </row>
    <row r="354" spans="32:32" x14ac:dyDescent="0.25">
      <c r="AF354" s="242"/>
    </row>
    <row r="355" spans="32:32" x14ac:dyDescent="0.25">
      <c r="AF355" s="242"/>
    </row>
    <row r="356" spans="32:32" x14ac:dyDescent="0.25">
      <c r="AF356" s="242"/>
    </row>
  </sheetData>
  <mergeCells count="262">
    <mergeCell ref="Q59:S59"/>
    <mergeCell ref="A56:F59"/>
    <mergeCell ref="I56:K56"/>
    <mergeCell ref="Q56:S56"/>
    <mergeCell ref="I57:K57"/>
    <mergeCell ref="Q57:S57"/>
    <mergeCell ref="G58:H58"/>
    <mergeCell ref="I58:K58"/>
    <mergeCell ref="Q58:S58"/>
    <mergeCell ref="G59:H59"/>
    <mergeCell ref="I59:K59"/>
    <mergeCell ref="G50:H50"/>
    <mergeCell ref="I50:K50"/>
    <mergeCell ref="Q50:S50"/>
    <mergeCell ref="G51:H51"/>
    <mergeCell ref="I51:K51"/>
    <mergeCell ref="Q51:S51"/>
    <mergeCell ref="U46:AA51"/>
    <mergeCell ref="A47:F47"/>
    <mergeCell ref="G47:H47"/>
    <mergeCell ref="I47:K47"/>
    <mergeCell ref="Q47:S47"/>
    <mergeCell ref="A48:F51"/>
    <mergeCell ref="I48:K48"/>
    <mergeCell ref="Q48:S48"/>
    <mergeCell ref="I49:K49"/>
    <mergeCell ref="Q49:S49"/>
    <mergeCell ref="A46:D46"/>
    <mergeCell ref="E46:S46"/>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Q36:S36"/>
    <mergeCell ref="Q37:S37"/>
    <mergeCell ref="Q34:S34"/>
    <mergeCell ref="A39:D40"/>
    <mergeCell ref="J39:K39"/>
    <mergeCell ref="J40:K40"/>
    <mergeCell ref="A37:D38"/>
    <mergeCell ref="J37:K37"/>
    <mergeCell ref="J38:K38"/>
    <mergeCell ref="E39:G40"/>
    <mergeCell ref="H39:I40"/>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A52:F55"/>
    <mergeCell ref="I52:K52"/>
    <mergeCell ref="Q52:S52"/>
    <mergeCell ref="I53:K53"/>
    <mergeCell ref="Q53:S53"/>
    <mergeCell ref="G54:H54"/>
    <mergeCell ref="I54:K54"/>
    <mergeCell ref="Q54:S54"/>
    <mergeCell ref="G55:H55"/>
    <mergeCell ref="I55:K55"/>
    <mergeCell ref="Q55:S55"/>
    <mergeCell ref="Q67:S67"/>
    <mergeCell ref="A60:F63"/>
    <mergeCell ref="I60:K60"/>
    <mergeCell ref="Q60:S60"/>
    <mergeCell ref="I61:K61"/>
    <mergeCell ref="Q61:S61"/>
    <mergeCell ref="G62:H62"/>
    <mergeCell ref="I62:K62"/>
    <mergeCell ref="Q62:S62"/>
    <mergeCell ref="G63:H63"/>
    <mergeCell ref="A64:F67"/>
    <mergeCell ref="I64:K64"/>
    <mergeCell ref="Q64:S64"/>
    <mergeCell ref="I65:K65"/>
    <mergeCell ref="Q65:S65"/>
    <mergeCell ref="G66:H66"/>
    <mergeCell ref="I66:K66"/>
    <mergeCell ref="Q66:S66"/>
    <mergeCell ref="G67:H67"/>
    <mergeCell ref="I67:K67"/>
    <mergeCell ref="I63:K63"/>
    <mergeCell ref="Q63:S63"/>
    <mergeCell ref="A68:F68"/>
    <mergeCell ref="G68:H68"/>
    <mergeCell ref="I68:K68"/>
    <mergeCell ref="Q68:S68"/>
    <mergeCell ref="A69:F69"/>
    <mergeCell ref="G69:H69"/>
    <mergeCell ref="Q72:S72"/>
    <mergeCell ref="A73:F73"/>
    <mergeCell ref="G73:H73"/>
    <mergeCell ref="I73:K73"/>
    <mergeCell ref="Q73:S73"/>
    <mergeCell ref="I69:K69"/>
    <mergeCell ref="Q69:S69"/>
    <mergeCell ref="A70:F70"/>
    <mergeCell ref="G70:H70"/>
    <mergeCell ref="I70:K70"/>
    <mergeCell ref="Q70:S70"/>
    <mergeCell ref="A74:K74"/>
    <mergeCell ref="Q74:S74"/>
    <mergeCell ref="A75:O75"/>
    <mergeCell ref="P75:S75"/>
    <mergeCell ref="A76:D76"/>
    <mergeCell ref="P84:S84"/>
    <mergeCell ref="A85:O85"/>
    <mergeCell ref="P85:S85"/>
    <mergeCell ref="A71:F71"/>
    <mergeCell ref="G71:H71"/>
    <mergeCell ref="I71:K71"/>
    <mergeCell ref="Q71:S71"/>
    <mergeCell ref="A72:F72"/>
    <mergeCell ref="G72:H72"/>
    <mergeCell ref="I72:K72"/>
    <mergeCell ref="A79:O79"/>
    <mergeCell ref="P79:S79"/>
    <mergeCell ref="A80:O80"/>
    <mergeCell ref="P80:S80"/>
    <mergeCell ref="A78:O78"/>
    <mergeCell ref="P78:S78"/>
    <mergeCell ref="A91:S91"/>
    <mergeCell ref="A92:S93"/>
    <mergeCell ref="A94:S101"/>
    <mergeCell ref="A86:D86"/>
    <mergeCell ref="E86:S86"/>
    <mergeCell ref="A87:O87"/>
    <mergeCell ref="P87:S87"/>
    <mergeCell ref="A88:O88"/>
    <mergeCell ref="U76:AA85"/>
    <mergeCell ref="A77:O77"/>
    <mergeCell ref="P77:S77"/>
    <mergeCell ref="A81:S81"/>
    <mergeCell ref="A82:D82"/>
    <mergeCell ref="E82:S82"/>
    <mergeCell ref="E76:S76"/>
    <mergeCell ref="A83:O83"/>
    <mergeCell ref="P83:S83"/>
    <mergeCell ref="A84:O84"/>
    <mergeCell ref="P88:S88"/>
    <mergeCell ref="A89:O89"/>
    <mergeCell ref="P89:S89"/>
    <mergeCell ref="A90:O90"/>
    <mergeCell ref="P90:S90"/>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12" customWidth="1"/>
    <col min="2" max="5" width="8.5" style="112" customWidth="1"/>
    <col min="6" max="10" width="8.25" style="112" customWidth="1"/>
    <col min="11" max="11" width="11.375" style="112" customWidth="1"/>
    <col min="12" max="16384" width="9" style="112"/>
  </cols>
  <sheetData>
    <row r="1" spans="1:43" ht="34.5" customHeight="1" x14ac:dyDescent="0.3">
      <c r="A1" s="660" t="s">
        <v>242</v>
      </c>
      <c r="B1" s="661"/>
      <c r="C1" s="661"/>
      <c r="D1" s="661"/>
      <c r="E1" s="661"/>
      <c r="F1" s="661"/>
      <c r="G1" s="661"/>
      <c r="H1" s="661"/>
      <c r="I1" s="661"/>
      <c r="J1" s="661"/>
      <c r="K1" s="662"/>
      <c r="L1" s="122"/>
      <c r="M1" s="122"/>
      <c r="N1" s="122"/>
      <c r="O1" s="122"/>
      <c r="P1" s="122"/>
      <c r="Q1" s="122"/>
      <c r="R1" s="122"/>
      <c r="S1" s="123"/>
      <c r="T1" s="111"/>
      <c r="AB1" s="113"/>
      <c r="AC1" s="113"/>
      <c r="AD1" s="113"/>
      <c r="AE1" s="113"/>
      <c r="AF1" s="113"/>
      <c r="AG1" s="113"/>
      <c r="AH1" s="113"/>
      <c r="AI1" s="113"/>
      <c r="AJ1" s="113"/>
      <c r="AK1" s="113"/>
      <c r="AL1" s="113"/>
      <c r="AM1" s="113"/>
      <c r="AN1" s="113"/>
      <c r="AO1" s="113"/>
      <c r="AP1" s="113"/>
      <c r="AQ1" s="113"/>
    </row>
    <row r="2" spans="1:43" ht="24.95" customHeight="1" x14ac:dyDescent="0.25">
      <c r="A2" s="124" t="s">
        <v>50</v>
      </c>
      <c r="B2" s="663" t="str">
        <f>Estimation!E12</f>
        <v xml:space="preserve"> </v>
      </c>
      <c r="C2" s="664"/>
      <c r="D2" s="664"/>
      <c r="E2" s="664"/>
      <c r="F2" s="665" t="s">
        <v>170</v>
      </c>
      <c r="G2" s="666"/>
      <c r="H2" s="667">
        <f>Estimation!E2</f>
        <v>0</v>
      </c>
      <c r="I2" s="668"/>
      <c r="J2" s="668"/>
      <c r="K2" s="669"/>
    </row>
    <row r="3" spans="1:43" s="125" customFormat="1" ht="16.5" customHeight="1" x14ac:dyDescent="0.15">
      <c r="A3" s="670" t="s">
        <v>99</v>
      </c>
      <c r="B3" s="672">
        <f>Estimation!D9</f>
        <v>0</v>
      </c>
      <c r="C3" s="673"/>
      <c r="D3" s="673"/>
      <c r="E3" s="674"/>
      <c r="F3" s="678" t="s">
        <v>98</v>
      </c>
      <c r="G3" s="679"/>
      <c r="H3" s="682">
        <f>Estimation!E4</f>
        <v>0</v>
      </c>
      <c r="I3" s="683"/>
      <c r="J3" s="683"/>
      <c r="K3" s="684"/>
    </row>
    <row r="4" spans="1:43" s="125" customFormat="1" ht="16.5" customHeight="1" x14ac:dyDescent="0.15">
      <c r="A4" s="671"/>
      <c r="B4" s="675"/>
      <c r="C4" s="676"/>
      <c r="D4" s="676"/>
      <c r="E4" s="677"/>
      <c r="F4" s="680"/>
      <c r="G4" s="681"/>
      <c r="H4" s="685"/>
      <c r="I4" s="686"/>
      <c r="J4" s="686"/>
      <c r="K4" s="687"/>
    </row>
    <row r="5" spans="1:43" s="126" customFormat="1" ht="18" customHeight="1" x14ac:dyDescent="0.2">
      <c r="A5" s="688"/>
      <c r="B5" s="688"/>
      <c r="C5" s="688"/>
      <c r="D5" s="688"/>
      <c r="E5" s="688"/>
      <c r="F5" s="688"/>
      <c r="G5" s="688"/>
      <c r="H5" s="688"/>
      <c r="I5" s="688"/>
      <c r="J5" s="688"/>
      <c r="K5" s="688"/>
    </row>
    <row r="6" spans="1:43" ht="30.75" customHeight="1" x14ac:dyDescent="0.25">
      <c r="A6" s="689" t="s">
        <v>171</v>
      </c>
      <c r="B6" s="690"/>
      <c r="C6" s="690"/>
      <c r="D6" s="690"/>
      <c r="E6" s="690"/>
      <c r="F6" s="690"/>
      <c r="G6" s="690"/>
      <c r="H6" s="690"/>
      <c r="I6" s="690"/>
      <c r="J6" s="690"/>
      <c r="K6" s="691"/>
    </row>
    <row r="7" spans="1:43" ht="15" customHeight="1" x14ac:dyDescent="0.25">
      <c r="A7" s="692" t="s">
        <v>172</v>
      </c>
      <c r="B7" s="693"/>
      <c r="C7" s="693"/>
      <c r="D7" s="693"/>
      <c r="E7" s="693"/>
      <c r="F7" s="693"/>
      <c r="G7" s="693"/>
      <c r="H7" s="693"/>
      <c r="I7" s="693"/>
      <c r="J7" s="693"/>
      <c r="K7" s="694"/>
      <c r="L7" s="125"/>
      <c r="M7" s="125"/>
      <c r="N7" s="125"/>
      <c r="O7" s="125"/>
      <c r="P7" s="125"/>
      <c r="Q7" s="125"/>
      <c r="R7" s="125"/>
      <c r="S7" s="125"/>
      <c r="T7" s="125"/>
    </row>
    <row r="8" spans="1:43" ht="15" customHeight="1" x14ac:dyDescent="0.25">
      <c r="A8" s="695" t="s">
        <v>173</v>
      </c>
      <c r="B8" s="696"/>
      <c r="C8" s="696"/>
      <c r="D8" s="696"/>
      <c r="E8" s="696"/>
      <c r="F8" s="696"/>
      <c r="G8" s="696"/>
      <c r="H8" s="696"/>
      <c r="I8" s="696"/>
      <c r="J8" s="696"/>
      <c r="K8" s="697"/>
      <c r="L8" s="125"/>
      <c r="M8" s="125"/>
      <c r="N8" s="125"/>
      <c r="O8" s="125"/>
      <c r="P8" s="125"/>
      <c r="Q8" s="125"/>
      <c r="R8" s="125"/>
      <c r="S8" s="125"/>
      <c r="T8" s="125"/>
    </row>
    <row r="9" spans="1:43" ht="15" customHeight="1" x14ac:dyDescent="0.25">
      <c r="A9" s="698" t="s">
        <v>174</v>
      </c>
      <c r="B9" s="657"/>
      <c r="C9" s="657"/>
      <c r="D9" s="657"/>
      <c r="E9" s="657"/>
      <c r="F9" s="657"/>
      <c r="G9" s="657"/>
      <c r="H9" s="657"/>
      <c r="I9" s="657"/>
      <c r="J9" s="657"/>
      <c r="K9" s="699"/>
      <c r="L9" s="127"/>
      <c r="M9" s="126"/>
      <c r="N9" s="126"/>
      <c r="O9" s="126"/>
      <c r="P9" s="126"/>
      <c r="Q9" s="126"/>
      <c r="R9" s="126"/>
      <c r="S9" s="126"/>
      <c r="T9" s="126"/>
    </row>
    <row r="10" spans="1:43" ht="15" customHeight="1" x14ac:dyDescent="0.25">
      <c r="A10" s="128" t="s">
        <v>175</v>
      </c>
      <c r="B10" s="658" t="s">
        <v>176</v>
      </c>
      <c r="C10" s="658"/>
      <c r="D10" s="658"/>
      <c r="E10" s="659"/>
      <c r="F10" s="129" t="s">
        <v>0</v>
      </c>
      <c r="G10" s="129" t="s">
        <v>1</v>
      </c>
      <c r="H10" s="129" t="s">
        <v>22</v>
      </c>
      <c r="I10" s="129" t="s">
        <v>31</v>
      </c>
      <c r="J10" s="129" t="s">
        <v>43</v>
      </c>
      <c r="K10" s="128" t="s">
        <v>177</v>
      </c>
    </row>
    <row r="11" spans="1:43" ht="15" customHeight="1" x14ac:dyDescent="0.25">
      <c r="A11" s="130"/>
      <c r="B11" s="655"/>
      <c r="C11" s="655"/>
      <c r="D11" s="655"/>
      <c r="E11" s="653"/>
      <c r="F11" s="144"/>
      <c r="G11" s="144"/>
      <c r="H11" s="144"/>
      <c r="I11" s="144"/>
      <c r="J11" s="144"/>
      <c r="K11" s="131">
        <f t="shared" ref="K11:K19" si="0">SUM(F11:J11)</f>
        <v>0</v>
      </c>
    </row>
    <row r="12" spans="1:43" ht="15" customHeight="1" x14ac:dyDescent="0.25">
      <c r="A12" s="130"/>
      <c r="B12" s="653"/>
      <c r="C12" s="654"/>
      <c r="D12" s="654"/>
      <c r="E12" s="654"/>
      <c r="F12" s="144"/>
      <c r="G12" s="144"/>
      <c r="H12" s="144"/>
      <c r="I12" s="144"/>
      <c r="J12" s="144"/>
      <c r="K12" s="131">
        <f t="shared" si="0"/>
        <v>0</v>
      </c>
    </row>
    <row r="13" spans="1:43" ht="15" customHeight="1" x14ac:dyDescent="0.25">
      <c r="A13" s="130"/>
      <c r="B13" s="653"/>
      <c r="C13" s="654"/>
      <c r="D13" s="654"/>
      <c r="E13" s="654"/>
      <c r="F13" s="144"/>
      <c r="G13" s="144"/>
      <c r="H13" s="144"/>
      <c r="I13" s="144"/>
      <c r="J13" s="144"/>
      <c r="K13" s="131">
        <f t="shared" si="0"/>
        <v>0</v>
      </c>
    </row>
    <row r="14" spans="1:43" ht="15" customHeight="1" x14ac:dyDescent="0.25">
      <c r="A14" s="130"/>
      <c r="B14" s="653"/>
      <c r="C14" s="654"/>
      <c r="D14" s="654"/>
      <c r="E14" s="654"/>
      <c r="F14" s="144"/>
      <c r="G14" s="144"/>
      <c r="H14" s="144"/>
      <c r="I14" s="144"/>
      <c r="J14" s="144"/>
      <c r="K14" s="131">
        <f t="shared" si="0"/>
        <v>0</v>
      </c>
    </row>
    <row r="15" spans="1:43" ht="15" customHeight="1" x14ac:dyDescent="0.25">
      <c r="A15" s="130"/>
      <c r="B15" s="653"/>
      <c r="C15" s="654"/>
      <c r="D15" s="654"/>
      <c r="E15" s="654"/>
      <c r="F15" s="144"/>
      <c r="G15" s="144"/>
      <c r="H15" s="144"/>
      <c r="I15" s="144"/>
      <c r="J15" s="144"/>
      <c r="K15" s="131">
        <f t="shared" si="0"/>
        <v>0</v>
      </c>
    </row>
    <row r="16" spans="1:43" ht="15" customHeight="1" x14ac:dyDescent="0.25">
      <c r="A16" s="130"/>
      <c r="B16" s="653"/>
      <c r="C16" s="654"/>
      <c r="D16" s="654"/>
      <c r="E16" s="654"/>
      <c r="F16" s="144"/>
      <c r="G16" s="144"/>
      <c r="H16" s="144"/>
      <c r="I16" s="144"/>
      <c r="J16" s="144"/>
      <c r="K16" s="131">
        <f t="shared" si="0"/>
        <v>0</v>
      </c>
    </row>
    <row r="17" spans="1:11" ht="18" customHeight="1" x14ac:dyDescent="0.25">
      <c r="A17" s="130"/>
      <c r="B17" s="653"/>
      <c r="C17" s="654"/>
      <c r="D17" s="654"/>
      <c r="E17" s="654"/>
      <c r="F17" s="144"/>
      <c r="G17" s="144"/>
      <c r="H17" s="144"/>
      <c r="I17" s="144"/>
      <c r="J17" s="144"/>
      <c r="K17" s="131">
        <f t="shared" si="0"/>
        <v>0</v>
      </c>
    </row>
    <row r="18" spans="1:11" ht="15" customHeight="1" x14ac:dyDescent="0.25">
      <c r="A18" s="130"/>
      <c r="B18" s="653"/>
      <c r="C18" s="654"/>
      <c r="D18" s="654"/>
      <c r="E18" s="654"/>
      <c r="F18" s="144"/>
      <c r="G18" s="144"/>
      <c r="H18" s="144"/>
      <c r="I18" s="144"/>
      <c r="J18" s="144"/>
      <c r="K18" s="131">
        <f t="shared" si="0"/>
        <v>0</v>
      </c>
    </row>
    <row r="19" spans="1:11" ht="15" customHeight="1" x14ac:dyDescent="0.25">
      <c r="A19" s="130"/>
      <c r="B19" s="653"/>
      <c r="C19" s="654"/>
      <c r="D19" s="654"/>
      <c r="E19" s="654"/>
      <c r="F19" s="144"/>
      <c r="G19" s="144"/>
      <c r="H19" s="144"/>
      <c r="I19" s="144"/>
      <c r="J19" s="144"/>
      <c r="K19" s="131">
        <f t="shared" si="0"/>
        <v>0</v>
      </c>
    </row>
    <row r="20" spans="1:11" ht="15" customHeight="1" x14ac:dyDescent="0.25">
      <c r="A20" s="132"/>
      <c r="B20" s="132"/>
      <c r="C20" s="132"/>
      <c r="D20" s="132"/>
      <c r="E20" s="132"/>
      <c r="F20" s="132"/>
      <c r="G20" s="132"/>
      <c r="H20" s="132"/>
      <c r="I20" s="132"/>
      <c r="J20" s="133"/>
      <c r="K20" s="134">
        <f>SUM(K11:K19)</f>
        <v>0</v>
      </c>
    </row>
    <row r="21" spans="1:11" ht="15" customHeight="1" x14ac:dyDescent="0.25">
      <c r="A21" s="656" t="s">
        <v>178</v>
      </c>
      <c r="B21" s="656"/>
      <c r="C21" s="656"/>
      <c r="D21" s="656"/>
      <c r="E21" s="656"/>
      <c r="F21" s="656"/>
      <c r="G21" s="656"/>
      <c r="H21" s="656"/>
      <c r="I21" s="656"/>
      <c r="J21" s="656"/>
      <c r="K21" s="657"/>
    </row>
    <row r="22" spans="1:11" ht="15" customHeight="1" x14ac:dyDescent="0.25">
      <c r="A22" s="128" t="s">
        <v>175</v>
      </c>
      <c r="B22" s="658" t="s">
        <v>176</v>
      </c>
      <c r="C22" s="658"/>
      <c r="D22" s="658"/>
      <c r="E22" s="659"/>
      <c r="F22" s="129" t="s">
        <v>0</v>
      </c>
      <c r="G22" s="129" t="s">
        <v>1</v>
      </c>
      <c r="H22" s="129" t="s">
        <v>22</v>
      </c>
      <c r="I22" s="129" t="s">
        <v>31</v>
      </c>
      <c r="J22" s="129" t="s">
        <v>43</v>
      </c>
      <c r="K22" s="128" t="s">
        <v>177</v>
      </c>
    </row>
    <row r="23" spans="1:11" ht="15" customHeight="1" x14ac:dyDescent="0.25">
      <c r="A23" s="130"/>
      <c r="B23" s="655"/>
      <c r="C23" s="655"/>
      <c r="D23" s="655"/>
      <c r="E23" s="653"/>
      <c r="F23" s="144"/>
      <c r="G23" s="144"/>
      <c r="H23" s="144"/>
      <c r="I23" s="144"/>
      <c r="J23" s="144"/>
      <c r="K23" s="131">
        <f t="shared" ref="K23:K31" si="1">SUM(F23:J23)</f>
        <v>0</v>
      </c>
    </row>
    <row r="24" spans="1:11" ht="15" customHeight="1" x14ac:dyDescent="0.25">
      <c r="A24" s="130"/>
      <c r="B24" s="653"/>
      <c r="C24" s="654"/>
      <c r="D24" s="654"/>
      <c r="E24" s="654"/>
      <c r="F24" s="144"/>
      <c r="G24" s="144"/>
      <c r="H24" s="144"/>
      <c r="I24" s="144"/>
      <c r="J24" s="144"/>
      <c r="K24" s="131">
        <f t="shared" si="1"/>
        <v>0</v>
      </c>
    </row>
    <row r="25" spans="1:11" ht="15" customHeight="1" x14ac:dyDescent="0.25">
      <c r="A25" s="130"/>
      <c r="B25" s="653"/>
      <c r="C25" s="654"/>
      <c r="D25" s="654"/>
      <c r="E25" s="654"/>
      <c r="F25" s="144"/>
      <c r="G25" s="144"/>
      <c r="H25" s="144"/>
      <c r="I25" s="144"/>
      <c r="J25" s="144"/>
      <c r="K25" s="131">
        <f t="shared" si="1"/>
        <v>0</v>
      </c>
    </row>
    <row r="26" spans="1:11" ht="15" customHeight="1" x14ac:dyDescent="0.25">
      <c r="A26" s="130"/>
      <c r="B26" s="653"/>
      <c r="C26" s="654"/>
      <c r="D26" s="654"/>
      <c r="E26" s="654"/>
      <c r="F26" s="144"/>
      <c r="G26" s="144"/>
      <c r="H26" s="144"/>
      <c r="I26" s="144"/>
      <c r="J26" s="144"/>
      <c r="K26" s="131">
        <f t="shared" si="1"/>
        <v>0</v>
      </c>
    </row>
    <row r="27" spans="1:11" ht="15" customHeight="1" x14ac:dyDescent="0.25">
      <c r="A27" s="130"/>
      <c r="B27" s="653"/>
      <c r="C27" s="654"/>
      <c r="D27" s="654"/>
      <c r="E27" s="654"/>
      <c r="F27" s="144"/>
      <c r="G27" s="144"/>
      <c r="H27" s="144"/>
      <c r="I27" s="144"/>
      <c r="J27" s="144"/>
      <c r="K27" s="131">
        <f t="shared" si="1"/>
        <v>0</v>
      </c>
    </row>
    <row r="28" spans="1:11" ht="15" customHeight="1" x14ac:dyDescent="0.25">
      <c r="A28" s="130"/>
      <c r="B28" s="653"/>
      <c r="C28" s="654"/>
      <c r="D28" s="654"/>
      <c r="E28" s="654"/>
      <c r="F28" s="144"/>
      <c r="G28" s="144"/>
      <c r="H28" s="144"/>
      <c r="I28" s="144"/>
      <c r="J28" s="144"/>
      <c r="K28" s="131">
        <f t="shared" si="1"/>
        <v>0</v>
      </c>
    </row>
    <row r="29" spans="1:11" x14ac:dyDescent="0.25">
      <c r="A29" s="130"/>
      <c r="B29" s="653"/>
      <c r="C29" s="654"/>
      <c r="D29" s="654"/>
      <c r="E29" s="654"/>
      <c r="F29" s="144"/>
      <c r="G29" s="144"/>
      <c r="H29" s="144"/>
      <c r="I29" s="144"/>
      <c r="J29" s="144"/>
      <c r="K29" s="131">
        <f t="shared" si="1"/>
        <v>0</v>
      </c>
    </row>
    <row r="30" spans="1:11" x14ac:dyDescent="0.25">
      <c r="A30" s="130"/>
      <c r="B30" s="653"/>
      <c r="C30" s="654"/>
      <c r="D30" s="654"/>
      <c r="E30" s="654"/>
      <c r="F30" s="144"/>
      <c r="G30" s="144"/>
      <c r="H30" s="144"/>
      <c r="I30" s="144"/>
      <c r="J30" s="144"/>
      <c r="K30" s="131">
        <f t="shared" si="1"/>
        <v>0</v>
      </c>
    </row>
    <row r="31" spans="1:11" x14ac:dyDescent="0.25">
      <c r="A31" s="130"/>
      <c r="B31" s="653"/>
      <c r="C31" s="654"/>
      <c r="D31" s="654"/>
      <c r="E31" s="654"/>
      <c r="F31" s="144"/>
      <c r="G31" s="144"/>
      <c r="H31" s="144"/>
      <c r="I31" s="144"/>
      <c r="J31" s="144"/>
      <c r="K31" s="131">
        <f t="shared" si="1"/>
        <v>0</v>
      </c>
    </row>
    <row r="32" spans="1:11" x14ac:dyDescent="0.25">
      <c r="A32" s="132"/>
      <c r="B32" s="132"/>
      <c r="C32" s="132"/>
      <c r="D32" s="132"/>
      <c r="E32" s="132"/>
      <c r="F32" s="132"/>
      <c r="G32" s="132"/>
      <c r="H32" s="132"/>
      <c r="I32" s="132"/>
      <c r="J32" s="133"/>
      <c r="K32" s="134">
        <f>SUM(K23:K31)</f>
        <v>0</v>
      </c>
    </row>
    <row r="34" spans="1:6" x14ac:dyDescent="0.25">
      <c r="A34" s="112" t="s">
        <v>179</v>
      </c>
    </row>
    <row r="35" spans="1:6" x14ac:dyDescent="0.25">
      <c r="A35" s="112" t="s">
        <v>180</v>
      </c>
      <c r="F35" s="112" t="s">
        <v>181</v>
      </c>
    </row>
    <row r="36" spans="1:6" x14ac:dyDescent="0.25">
      <c r="A36" s="112" t="s">
        <v>182</v>
      </c>
      <c r="F36" s="112" t="s">
        <v>183</v>
      </c>
    </row>
    <row r="37" spans="1:6" x14ac:dyDescent="0.25">
      <c r="A37" s="112" t="s">
        <v>184</v>
      </c>
      <c r="F37" s="112" t="s">
        <v>185</v>
      </c>
    </row>
    <row r="39" spans="1:6" x14ac:dyDescent="0.25">
      <c r="A39" s="112" t="s">
        <v>186</v>
      </c>
    </row>
    <row r="40" spans="1:6" x14ac:dyDescent="0.25">
      <c r="A40" s="135" t="s">
        <v>187</v>
      </c>
    </row>
    <row r="41" spans="1:6" x14ac:dyDescent="0.25">
      <c r="A41" s="135" t="s">
        <v>188</v>
      </c>
    </row>
    <row r="42" spans="1:6" x14ac:dyDescent="0.25">
      <c r="A42" s="135" t="s">
        <v>189</v>
      </c>
    </row>
    <row r="43" spans="1:6" x14ac:dyDescent="0.25">
      <c r="A43" s="135" t="s">
        <v>190</v>
      </c>
    </row>
    <row r="44" spans="1:6" x14ac:dyDescent="0.25">
      <c r="A44" s="135" t="s">
        <v>191</v>
      </c>
    </row>
    <row r="45" spans="1:6" x14ac:dyDescent="0.25">
      <c r="A45" s="135" t="s">
        <v>192</v>
      </c>
    </row>
    <row r="46" spans="1:6" x14ac:dyDescent="0.25">
      <c r="A46" s="136" t="s">
        <v>193</v>
      </c>
    </row>
    <row r="47" spans="1:6" x14ac:dyDescent="0.25">
      <c r="A47" s="136" t="s">
        <v>194</v>
      </c>
    </row>
    <row r="48" spans="1:6" x14ac:dyDescent="0.25">
      <c r="A48" s="135" t="s">
        <v>195</v>
      </c>
    </row>
    <row r="50" spans="1:12" x14ac:dyDescent="0.25">
      <c r="A50" s="137" t="s">
        <v>196</v>
      </c>
      <c r="B50" s="137"/>
      <c r="C50" s="137"/>
      <c r="D50" s="137"/>
      <c r="E50" s="137"/>
      <c r="F50" s="137"/>
      <c r="G50" s="137"/>
      <c r="H50" s="137"/>
      <c r="I50" s="137"/>
      <c r="J50" s="137"/>
      <c r="K50" s="137"/>
      <c r="L50" s="137"/>
    </row>
    <row r="51" spans="1:12" x14ac:dyDescent="0.25">
      <c r="A51" s="138" t="s">
        <v>197</v>
      </c>
      <c r="C51" s="137"/>
      <c r="D51" s="137"/>
      <c r="E51" s="137"/>
      <c r="F51" s="137"/>
      <c r="G51" s="137"/>
      <c r="H51" s="137"/>
      <c r="I51" s="137"/>
      <c r="J51" s="137"/>
      <c r="K51" s="137"/>
      <c r="L51" s="137"/>
    </row>
    <row r="52" spans="1:12" x14ac:dyDescent="0.25">
      <c r="A52" s="138" t="s">
        <v>198</v>
      </c>
      <c r="C52" s="137"/>
      <c r="D52" s="137"/>
      <c r="E52" s="137"/>
      <c r="F52" s="137"/>
      <c r="G52" s="137"/>
      <c r="H52" s="137"/>
      <c r="I52" s="137"/>
      <c r="J52" s="137"/>
      <c r="K52" s="137"/>
      <c r="L52" s="137"/>
    </row>
    <row r="53" spans="1:12" x14ac:dyDescent="0.25">
      <c r="C53" s="139" t="s">
        <v>210</v>
      </c>
      <c r="D53" s="140" t="s">
        <v>211</v>
      </c>
    </row>
  </sheetData>
  <mergeCells count="34">
    <mergeCell ref="B10:E10"/>
    <mergeCell ref="A1:K1"/>
    <mergeCell ref="B2:E2"/>
    <mergeCell ref="F2:G2"/>
    <mergeCell ref="H2:K2"/>
    <mergeCell ref="A3:A4"/>
    <mergeCell ref="B3:E4"/>
    <mergeCell ref="F3:G4"/>
    <mergeCell ref="H3:K4"/>
    <mergeCell ref="A5:K5"/>
    <mergeCell ref="A6:K6"/>
    <mergeCell ref="A7:K7"/>
    <mergeCell ref="A8:K8"/>
    <mergeCell ref="A9:K9"/>
    <mergeCell ref="B23:E23"/>
    <mergeCell ref="B11:E11"/>
    <mergeCell ref="B12:E12"/>
    <mergeCell ref="B13:E13"/>
    <mergeCell ref="B14:E14"/>
    <mergeCell ref="B15:E15"/>
    <mergeCell ref="B16:E16"/>
    <mergeCell ref="B17:E17"/>
    <mergeCell ref="B18:E18"/>
    <mergeCell ref="B19:E19"/>
    <mergeCell ref="A21:K21"/>
    <mergeCell ref="B22:E22"/>
    <mergeCell ref="B30:E30"/>
    <mergeCell ref="B31:E31"/>
    <mergeCell ref="B24:E24"/>
    <mergeCell ref="B25:E25"/>
    <mergeCell ref="B26:E26"/>
    <mergeCell ref="B27:E27"/>
    <mergeCell ref="B28:E28"/>
    <mergeCell ref="B29:E2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92" customWidth="1"/>
    <col min="2" max="3" width="9" style="92"/>
    <col min="4" max="4" width="13.375" style="92" customWidth="1"/>
    <col min="5" max="5" width="4.75" style="92" customWidth="1"/>
    <col min="6" max="10" width="8.25" style="92" customWidth="1"/>
    <col min="11" max="11" width="11.75" style="92" customWidth="1"/>
    <col min="12" max="16384" width="9" style="92"/>
  </cols>
  <sheetData>
    <row r="1" spans="1:43" ht="35.25" customHeight="1" x14ac:dyDescent="0.3">
      <c r="A1" s="707" t="s">
        <v>119</v>
      </c>
      <c r="B1" s="708"/>
      <c r="C1" s="708"/>
      <c r="D1" s="708"/>
      <c r="E1" s="708"/>
      <c r="F1" s="708"/>
      <c r="G1" s="708"/>
      <c r="H1" s="708"/>
      <c r="I1" s="708"/>
      <c r="J1" s="708"/>
      <c r="K1" s="709"/>
      <c r="L1" s="96"/>
      <c r="M1" s="96"/>
      <c r="N1" s="96"/>
      <c r="O1" s="96"/>
      <c r="P1" s="96"/>
      <c r="Q1" s="96"/>
      <c r="R1" s="96"/>
      <c r="S1" s="97"/>
      <c r="T1" s="91"/>
      <c r="AB1" s="93"/>
      <c r="AC1" s="93"/>
      <c r="AD1" s="93"/>
      <c r="AE1" s="93"/>
      <c r="AF1" s="93"/>
      <c r="AG1" s="93"/>
      <c r="AH1" s="93"/>
      <c r="AI1" s="93"/>
      <c r="AJ1" s="93"/>
      <c r="AK1" s="93"/>
      <c r="AL1" s="93"/>
      <c r="AM1" s="93"/>
      <c r="AN1" s="93"/>
      <c r="AO1" s="93"/>
      <c r="AP1" s="93"/>
      <c r="AQ1" s="93"/>
    </row>
    <row r="2" spans="1:43" ht="24.75" customHeight="1" x14ac:dyDescent="0.25">
      <c r="A2" s="98" t="s">
        <v>50</v>
      </c>
      <c r="B2" s="663" t="str">
        <f>Estimation!E12</f>
        <v xml:space="preserve"> </v>
      </c>
      <c r="C2" s="664"/>
      <c r="D2" s="664"/>
      <c r="E2" s="664"/>
      <c r="F2" s="710" t="s">
        <v>170</v>
      </c>
      <c r="G2" s="711"/>
      <c r="H2" s="667">
        <f>Estimation!E1</f>
        <v>0</v>
      </c>
      <c r="I2" s="668"/>
      <c r="J2" s="668"/>
      <c r="K2" s="669"/>
    </row>
    <row r="3" spans="1:43" x14ac:dyDescent="0.25">
      <c r="A3" s="712" t="s">
        <v>99</v>
      </c>
      <c r="B3" s="672">
        <f>Estimation!D9</f>
        <v>0</v>
      </c>
      <c r="C3" s="673"/>
      <c r="D3" s="673"/>
      <c r="E3" s="674"/>
      <c r="F3" s="714" t="s">
        <v>98</v>
      </c>
      <c r="G3" s="715"/>
      <c r="H3" s="682">
        <f>Estimation!E4</f>
        <v>0</v>
      </c>
      <c r="I3" s="683"/>
      <c r="J3" s="683"/>
      <c r="K3" s="684"/>
    </row>
    <row r="4" spans="1:43" x14ac:dyDescent="0.25">
      <c r="A4" s="713"/>
      <c r="B4" s="675"/>
      <c r="C4" s="676"/>
      <c r="D4" s="676"/>
      <c r="E4" s="677"/>
      <c r="F4" s="716"/>
      <c r="G4" s="717"/>
      <c r="H4" s="685"/>
      <c r="I4" s="686"/>
      <c r="J4" s="686"/>
      <c r="K4" s="687"/>
    </row>
    <row r="5" spans="1:43" x14ac:dyDescent="0.25">
      <c r="A5" s="718"/>
      <c r="B5" s="718"/>
      <c r="C5" s="718"/>
      <c r="D5" s="718"/>
      <c r="E5" s="718"/>
      <c r="F5" s="718"/>
      <c r="G5" s="718"/>
      <c r="H5" s="718"/>
      <c r="I5" s="718"/>
      <c r="J5" s="718"/>
      <c r="K5" s="718"/>
    </row>
    <row r="6" spans="1:43" ht="23.25" customHeight="1" x14ac:dyDescent="0.25">
      <c r="A6" s="719" t="s">
        <v>199</v>
      </c>
      <c r="B6" s="720"/>
      <c r="C6" s="720"/>
      <c r="D6" s="720"/>
      <c r="E6" s="720"/>
      <c r="F6" s="720"/>
      <c r="G6" s="720"/>
      <c r="H6" s="720"/>
      <c r="I6" s="720"/>
      <c r="J6" s="720"/>
      <c r="K6" s="721"/>
    </row>
    <row r="7" spans="1:43" s="99" customFormat="1" ht="27.75" customHeight="1" x14ac:dyDescent="0.15">
      <c r="A7" s="722"/>
      <c r="B7" s="723"/>
      <c r="C7" s="723"/>
      <c r="D7" s="723"/>
      <c r="E7" s="723"/>
      <c r="F7" s="723"/>
      <c r="G7" s="723"/>
      <c r="H7" s="723"/>
      <c r="I7" s="723"/>
      <c r="J7" s="723"/>
      <c r="K7" s="724"/>
    </row>
    <row r="8" spans="1:43" s="100" customFormat="1" ht="15.75" x14ac:dyDescent="0.2">
      <c r="A8" s="725" t="s">
        <v>200</v>
      </c>
      <c r="B8" s="703"/>
      <c r="C8" s="703"/>
      <c r="D8" s="703"/>
      <c r="E8" s="703"/>
      <c r="F8" s="703"/>
      <c r="G8" s="703"/>
      <c r="H8" s="703"/>
      <c r="I8" s="703"/>
      <c r="J8" s="703"/>
      <c r="K8" s="726"/>
    </row>
    <row r="9" spans="1:43" x14ac:dyDescent="0.25">
      <c r="A9" s="101" t="s">
        <v>175</v>
      </c>
      <c r="B9" s="704" t="s">
        <v>176</v>
      </c>
      <c r="C9" s="704"/>
      <c r="D9" s="704"/>
      <c r="E9" s="705"/>
      <c r="F9" s="102" t="s">
        <v>0</v>
      </c>
      <c r="G9" s="102" t="s">
        <v>1</v>
      </c>
      <c r="H9" s="102" t="s">
        <v>22</v>
      </c>
      <c r="I9" s="102" t="s">
        <v>31</v>
      </c>
      <c r="J9" s="102" t="s">
        <v>43</v>
      </c>
      <c r="K9" s="101" t="s">
        <v>177</v>
      </c>
    </row>
    <row r="10" spans="1:43" x14ac:dyDescent="0.25">
      <c r="A10" s="103"/>
      <c r="B10" s="706"/>
      <c r="C10" s="706"/>
      <c r="D10" s="706"/>
      <c r="E10" s="700"/>
      <c r="F10" s="145"/>
      <c r="G10" s="145"/>
      <c r="H10" s="145"/>
      <c r="I10" s="145"/>
      <c r="J10" s="145"/>
      <c r="K10" s="104">
        <f t="shared" ref="K10:K18" si="0">SUM(F10:J10)</f>
        <v>0</v>
      </c>
    </row>
    <row r="11" spans="1:43" x14ac:dyDescent="0.25">
      <c r="A11" s="103"/>
      <c r="B11" s="700"/>
      <c r="C11" s="701"/>
      <c r="D11" s="701"/>
      <c r="E11" s="701"/>
      <c r="F11" s="145"/>
      <c r="G11" s="145"/>
      <c r="H11" s="145"/>
      <c r="I11" s="145"/>
      <c r="J11" s="145"/>
      <c r="K11" s="104">
        <f t="shared" si="0"/>
        <v>0</v>
      </c>
    </row>
    <row r="12" spans="1:43" x14ac:dyDescent="0.25">
      <c r="A12" s="103"/>
      <c r="B12" s="700"/>
      <c r="C12" s="701"/>
      <c r="D12" s="701"/>
      <c r="E12" s="701"/>
      <c r="F12" s="145"/>
      <c r="G12" s="145"/>
      <c r="H12" s="145"/>
      <c r="I12" s="145"/>
      <c r="J12" s="145"/>
      <c r="K12" s="104">
        <f t="shared" si="0"/>
        <v>0</v>
      </c>
    </row>
    <row r="13" spans="1:43" x14ac:dyDescent="0.25">
      <c r="A13" s="103"/>
      <c r="B13" s="700"/>
      <c r="C13" s="701"/>
      <c r="D13" s="701"/>
      <c r="E13" s="701"/>
      <c r="F13" s="145"/>
      <c r="G13" s="145"/>
      <c r="H13" s="145"/>
      <c r="I13" s="145"/>
      <c r="J13" s="145"/>
      <c r="K13" s="104">
        <f t="shared" si="0"/>
        <v>0</v>
      </c>
    </row>
    <row r="14" spans="1:43" x14ac:dyDescent="0.25">
      <c r="A14" s="103"/>
      <c r="B14" s="700"/>
      <c r="C14" s="701"/>
      <c r="D14" s="701"/>
      <c r="E14" s="701"/>
      <c r="F14" s="145"/>
      <c r="G14" s="145"/>
      <c r="H14" s="145"/>
      <c r="I14" s="145"/>
      <c r="J14" s="145"/>
      <c r="K14" s="104">
        <f t="shared" si="0"/>
        <v>0</v>
      </c>
    </row>
    <row r="15" spans="1:43" x14ac:dyDescent="0.25">
      <c r="A15" s="103"/>
      <c r="B15" s="700"/>
      <c r="C15" s="701"/>
      <c r="D15" s="701"/>
      <c r="E15" s="701"/>
      <c r="F15" s="145"/>
      <c r="G15" s="145"/>
      <c r="H15" s="145"/>
      <c r="I15" s="145"/>
      <c r="J15" s="145"/>
      <c r="K15" s="104">
        <f t="shared" si="0"/>
        <v>0</v>
      </c>
    </row>
    <row r="16" spans="1:43" x14ac:dyDescent="0.25">
      <c r="A16" s="103"/>
      <c r="B16" s="700"/>
      <c r="C16" s="701"/>
      <c r="D16" s="701"/>
      <c r="E16" s="701"/>
      <c r="F16" s="145"/>
      <c r="G16" s="145"/>
      <c r="H16" s="145"/>
      <c r="I16" s="145"/>
      <c r="J16" s="145"/>
      <c r="K16" s="104">
        <f t="shared" si="0"/>
        <v>0</v>
      </c>
    </row>
    <row r="17" spans="1:11" x14ac:dyDescent="0.25">
      <c r="A17" s="103"/>
      <c r="B17" s="700"/>
      <c r="C17" s="701"/>
      <c r="D17" s="701"/>
      <c r="E17" s="701"/>
      <c r="F17" s="145"/>
      <c r="G17" s="145"/>
      <c r="H17" s="145"/>
      <c r="I17" s="145"/>
      <c r="J17" s="145"/>
      <c r="K17" s="104">
        <f t="shared" si="0"/>
        <v>0</v>
      </c>
    </row>
    <row r="18" spans="1:11" x14ac:dyDescent="0.25">
      <c r="A18" s="103"/>
      <c r="B18" s="700"/>
      <c r="C18" s="701"/>
      <c r="D18" s="701"/>
      <c r="E18" s="701"/>
      <c r="F18" s="145"/>
      <c r="G18" s="145"/>
      <c r="H18" s="145"/>
      <c r="I18" s="145"/>
      <c r="J18" s="145"/>
      <c r="K18" s="104">
        <f t="shared" si="0"/>
        <v>0</v>
      </c>
    </row>
    <row r="19" spans="1:11" x14ac:dyDescent="0.25">
      <c r="A19" s="109"/>
      <c r="B19" s="105"/>
      <c r="C19" s="105"/>
      <c r="D19" s="105"/>
      <c r="E19" s="105"/>
      <c r="F19" s="105"/>
      <c r="G19" s="105"/>
      <c r="H19" s="105"/>
      <c r="I19" s="105"/>
      <c r="J19" s="106"/>
      <c r="K19" s="107">
        <f>SUM(K10:K18)</f>
        <v>0</v>
      </c>
    </row>
    <row r="20" spans="1:11" ht="15.75" x14ac:dyDescent="0.25">
      <c r="A20" s="702" t="s">
        <v>201</v>
      </c>
      <c r="B20" s="702"/>
      <c r="C20" s="702"/>
      <c r="D20" s="702"/>
      <c r="E20" s="702"/>
      <c r="F20" s="702"/>
      <c r="G20" s="702"/>
      <c r="H20" s="702"/>
      <c r="I20" s="702"/>
      <c r="J20" s="702"/>
      <c r="K20" s="703"/>
    </row>
    <row r="21" spans="1:11" x14ac:dyDescent="0.25">
      <c r="A21" s="101" t="s">
        <v>175</v>
      </c>
      <c r="B21" s="704" t="s">
        <v>176</v>
      </c>
      <c r="C21" s="704"/>
      <c r="D21" s="704"/>
      <c r="E21" s="705"/>
      <c r="F21" s="102" t="s">
        <v>0</v>
      </c>
      <c r="G21" s="102" t="s">
        <v>1</v>
      </c>
      <c r="H21" s="102" t="s">
        <v>22</v>
      </c>
      <c r="I21" s="102" t="s">
        <v>31</v>
      </c>
      <c r="J21" s="102" t="s">
        <v>43</v>
      </c>
      <c r="K21" s="101" t="s">
        <v>177</v>
      </c>
    </row>
    <row r="22" spans="1:11" x14ac:dyDescent="0.25">
      <c r="A22" s="103"/>
      <c r="B22" s="706"/>
      <c r="C22" s="706"/>
      <c r="D22" s="706"/>
      <c r="E22" s="700"/>
      <c r="F22" s="145"/>
      <c r="G22" s="145"/>
      <c r="H22" s="145"/>
      <c r="I22" s="145"/>
      <c r="J22" s="145"/>
      <c r="K22" s="104">
        <f t="shared" ref="K22:K30" si="1">SUM(F22:J22)</f>
        <v>0</v>
      </c>
    </row>
    <row r="23" spans="1:11" x14ac:dyDescent="0.25">
      <c r="A23" s="103"/>
      <c r="B23" s="700"/>
      <c r="C23" s="701"/>
      <c r="D23" s="701"/>
      <c r="E23" s="701"/>
      <c r="F23" s="145"/>
      <c r="G23" s="145"/>
      <c r="H23" s="145"/>
      <c r="I23" s="145"/>
      <c r="J23" s="145"/>
      <c r="K23" s="104">
        <f t="shared" si="1"/>
        <v>0</v>
      </c>
    </row>
    <row r="24" spans="1:11" x14ac:dyDescent="0.25">
      <c r="A24" s="103"/>
      <c r="B24" s="700"/>
      <c r="C24" s="701"/>
      <c r="D24" s="701"/>
      <c r="E24" s="701"/>
      <c r="F24" s="145"/>
      <c r="G24" s="145"/>
      <c r="H24" s="145"/>
      <c r="I24" s="145"/>
      <c r="J24" s="145"/>
      <c r="K24" s="104">
        <f t="shared" si="1"/>
        <v>0</v>
      </c>
    </row>
    <row r="25" spans="1:11" x14ac:dyDescent="0.25">
      <c r="A25" s="103"/>
      <c r="B25" s="700"/>
      <c r="C25" s="701"/>
      <c r="D25" s="701"/>
      <c r="E25" s="701"/>
      <c r="F25" s="145"/>
      <c r="G25" s="145"/>
      <c r="H25" s="145"/>
      <c r="I25" s="145"/>
      <c r="J25" s="145"/>
      <c r="K25" s="104">
        <f t="shared" si="1"/>
        <v>0</v>
      </c>
    </row>
    <row r="26" spans="1:11" x14ac:dyDescent="0.25">
      <c r="A26" s="103"/>
      <c r="B26" s="700"/>
      <c r="C26" s="701"/>
      <c r="D26" s="701"/>
      <c r="E26" s="701"/>
      <c r="F26" s="145"/>
      <c r="G26" s="145"/>
      <c r="H26" s="145"/>
      <c r="I26" s="145"/>
      <c r="J26" s="145"/>
      <c r="K26" s="104">
        <f t="shared" si="1"/>
        <v>0</v>
      </c>
    </row>
    <row r="27" spans="1:11" x14ac:dyDescent="0.25">
      <c r="A27" s="103"/>
      <c r="B27" s="700"/>
      <c r="C27" s="701"/>
      <c r="D27" s="701"/>
      <c r="E27" s="701"/>
      <c r="F27" s="145"/>
      <c r="G27" s="145"/>
      <c r="H27" s="145"/>
      <c r="I27" s="145"/>
      <c r="J27" s="145"/>
      <c r="K27" s="104">
        <f t="shared" si="1"/>
        <v>0</v>
      </c>
    </row>
    <row r="28" spans="1:11" x14ac:dyDescent="0.25">
      <c r="A28" s="103"/>
      <c r="B28" s="700"/>
      <c r="C28" s="701"/>
      <c r="D28" s="701"/>
      <c r="E28" s="701"/>
      <c r="F28" s="145"/>
      <c r="G28" s="145"/>
      <c r="H28" s="145"/>
      <c r="I28" s="145"/>
      <c r="J28" s="145"/>
      <c r="K28" s="104">
        <f t="shared" si="1"/>
        <v>0</v>
      </c>
    </row>
    <row r="29" spans="1:11" x14ac:dyDescent="0.25">
      <c r="A29" s="103"/>
      <c r="B29" s="700"/>
      <c r="C29" s="701"/>
      <c r="D29" s="701"/>
      <c r="E29" s="701"/>
      <c r="F29" s="145"/>
      <c r="G29" s="145"/>
      <c r="H29" s="145"/>
      <c r="I29" s="145"/>
      <c r="J29" s="145"/>
      <c r="K29" s="104">
        <f t="shared" si="1"/>
        <v>0</v>
      </c>
    </row>
    <row r="30" spans="1:11" x14ac:dyDescent="0.25">
      <c r="A30" s="103"/>
      <c r="B30" s="700"/>
      <c r="C30" s="701"/>
      <c r="D30" s="701"/>
      <c r="E30" s="701"/>
      <c r="F30" s="145"/>
      <c r="G30" s="145"/>
      <c r="H30" s="145"/>
      <c r="I30" s="145"/>
      <c r="J30" s="145"/>
      <c r="K30" s="104">
        <f t="shared" si="1"/>
        <v>0</v>
      </c>
    </row>
    <row r="31" spans="1:11" x14ac:dyDescent="0.25">
      <c r="A31" s="105"/>
      <c r="B31" s="105"/>
      <c r="C31" s="105"/>
      <c r="D31" s="105"/>
      <c r="E31" s="105"/>
      <c r="F31" s="105"/>
      <c r="G31" s="105"/>
      <c r="H31" s="105"/>
      <c r="I31" s="105"/>
      <c r="J31" s="106"/>
      <c r="K31" s="107">
        <f>SUM(K22:K30)</f>
        <v>0</v>
      </c>
    </row>
    <row r="33" spans="1:7" x14ac:dyDescent="0.25">
      <c r="A33" s="110" t="s">
        <v>202</v>
      </c>
    </row>
    <row r="34" spans="1:7" x14ac:dyDescent="0.25">
      <c r="A34" s="108" t="s">
        <v>203</v>
      </c>
    </row>
    <row r="35" spans="1:7" x14ac:dyDescent="0.25">
      <c r="A35" s="108" t="s">
        <v>204</v>
      </c>
    </row>
    <row r="36" spans="1:7" x14ac:dyDescent="0.25">
      <c r="A36" s="142" t="s">
        <v>214</v>
      </c>
      <c r="B36" s="143"/>
      <c r="C36" s="143"/>
      <c r="D36" s="143"/>
      <c r="E36" s="143"/>
      <c r="F36" s="143"/>
      <c r="G36" s="143"/>
    </row>
    <row r="37" spans="1:7" x14ac:dyDescent="0.25">
      <c r="A37" s="142" t="s">
        <v>215</v>
      </c>
      <c r="B37" s="143"/>
      <c r="C37" s="143"/>
      <c r="D37" s="143"/>
      <c r="E37" s="143"/>
      <c r="F37" s="143"/>
      <c r="G37" s="143"/>
    </row>
    <row r="38" spans="1:7" x14ac:dyDescent="0.25">
      <c r="A38" s="142" t="s">
        <v>216</v>
      </c>
      <c r="B38" s="143"/>
      <c r="C38" s="143"/>
      <c r="D38" s="143"/>
      <c r="E38" s="143"/>
      <c r="F38" s="143"/>
      <c r="G38" s="143"/>
    </row>
    <row r="39" spans="1:7" x14ac:dyDescent="0.25">
      <c r="A39" s="142" t="s">
        <v>217</v>
      </c>
      <c r="B39" s="143"/>
      <c r="C39" s="143"/>
      <c r="D39" s="143"/>
      <c r="E39" s="143"/>
      <c r="F39" s="143"/>
      <c r="G39" s="143"/>
    </row>
    <row r="40" spans="1:7" x14ac:dyDescent="0.25">
      <c r="A40" s="108" t="s">
        <v>205</v>
      </c>
    </row>
    <row r="41" spans="1:7" x14ac:dyDescent="0.25">
      <c r="A41" s="108" t="s">
        <v>206</v>
      </c>
    </row>
    <row r="42" spans="1:7" x14ac:dyDescent="0.25">
      <c r="A42" s="108" t="s">
        <v>207</v>
      </c>
    </row>
    <row r="43" spans="1:7" x14ac:dyDescent="0.25">
      <c r="A43" s="108" t="s">
        <v>208</v>
      </c>
    </row>
    <row r="44" spans="1:7" x14ac:dyDescent="0.25">
      <c r="A44" s="108" t="s">
        <v>209</v>
      </c>
    </row>
  </sheetData>
  <mergeCells count="33">
    <mergeCell ref="B10:E10"/>
    <mergeCell ref="A1:K1"/>
    <mergeCell ref="B2:E2"/>
    <mergeCell ref="F2:G2"/>
    <mergeCell ref="H2:K2"/>
    <mergeCell ref="A3:A4"/>
    <mergeCell ref="B3:E4"/>
    <mergeCell ref="F3:G4"/>
    <mergeCell ref="H3:K4"/>
    <mergeCell ref="A5:K5"/>
    <mergeCell ref="A6:K6"/>
    <mergeCell ref="A7:K7"/>
    <mergeCell ref="A8:K8"/>
    <mergeCell ref="B9:E9"/>
    <mergeCell ref="B23:E23"/>
    <mergeCell ref="B11:E11"/>
    <mergeCell ref="B12:E12"/>
    <mergeCell ref="B13:E13"/>
    <mergeCell ref="B14:E14"/>
    <mergeCell ref="B15:E15"/>
    <mergeCell ref="B16:E16"/>
    <mergeCell ref="B17:E17"/>
    <mergeCell ref="B18:E18"/>
    <mergeCell ref="A20:K20"/>
    <mergeCell ref="B21:E21"/>
    <mergeCell ref="B22:E22"/>
    <mergeCell ref="B30:E30"/>
    <mergeCell ref="B24:E24"/>
    <mergeCell ref="B25:E25"/>
    <mergeCell ref="B26:E26"/>
    <mergeCell ref="B27:E27"/>
    <mergeCell ref="B28:E28"/>
    <mergeCell ref="B29:E29"/>
  </mergeCells>
  <pageMargins left="0.48" right="0.17" top="0.51" bottom="0.75" header="0.3" footer="0.3"/>
  <pageSetup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2.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Estimation</vt:lpstr>
      <vt:lpstr>Hidden_Lookups</vt:lpstr>
      <vt:lpstr>TravelTable</vt:lpstr>
      <vt:lpstr>BudgetForm</vt:lpstr>
      <vt:lpstr>IDCAddendum</vt:lpstr>
      <vt:lpstr>1-CS Summary</vt:lpstr>
      <vt:lpstr>2-CS In-Kind</vt:lpstr>
      <vt:lpstr>3-CS External</vt:lpstr>
      <vt:lpstr>BudgetForm!FringeBenefits</vt:lpstr>
      <vt:lpstr>BudgetForm!IndirectCosts</vt:lpstr>
      <vt:lpstr>BudgetForm!OtherDirectCosts</vt:lpstr>
      <vt:lpstr>'1-CS Summary'!Print_Area</vt:lpstr>
      <vt:lpstr>'2-CS In-Kind'!Print_Area</vt:lpstr>
      <vt:lpstr>'3-CS External'!Print_Area</vt:lpstr>
      <vt:lpstr>BudgetForm!Print_Area</vt:lpstr>
      <vt:lpstr>Estimation!Print_Area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2021-06-08T18:47:32Z</cp:lastPrinted>
  <dcterms:created xsi:type="dcterms:W3CDTF">2002-09-24T21:46:17Z</dcterms:created>
  <dcterms:modified xsi:type="dcterms:W3CDTF">2025-05-06T18:28:01Z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