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drawings/drawing4.xml" ContentType="application/vnd.openxmlformats-officedocument.drawing+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ate1904="1" updateLinks="never" autoCompressPictures="0" defaultThemeVersion="124226"/>
  <mc:AlternateContent xmlns:mc="http://schemas.openxmlformats.org/markup-compatibility/2006">
    <mc:Choice Requires="x15">
      <x15ac:absPath xmlns:x15ac="http://schemas.microsoft.com/office/spreadsheetml/2010/11/ac" url="https://o365coloradoedu-my.sharepoint.com/personal/medu6796_colorado_edu/Documents/UCB/Documents/!! Website/"/>
    </mc:Choice>
  </mc:AlternateContent>
  <xr:revisionPtr revIDLastSave="6" documentId="8_{81FE7FBF-46A1-4F50-A4A2-9A6780D94507}" xr6:coauthVersionLast="47" xr6:coauthVersionMax="47" xr10:uidLastSave="{CF34E375-142B-4CB0-ADF3-1FECBD6A7D9E}"/>
  <bookViews>
    <workbookView xWindow="-120" yWindow="-120" windowWidth="29040" windowHeight="15720" xr2:uid="{00000000-000D-0000-FFFF-FFFF00000000}"/>
  </bookViews>
  <sheets>
    <sheet name="Estimation" sheetId="1" r:id="rId1"/>
    <sheet name="Hidden_Lookups" sheetId="22" state="hidden" r:id="rId2"/>
    <sheet name="TravelTable" sheetId="20" r:id="rId3"/>
    <sheet name="BudgetForm" sheetId="17" r:id="rId4"/>
    <sheet name="IDCAddendum" sheetId="21" r:id="rId5"/>
    <sheet name="1-CS Summary" sheetId="23" r:id="rId6"/>
    <sheet name="2-CS In-Kind" sheetId="16" r:id="rId7"/>
    <sheet name="3-CS External" sheetId="14" r:id="rId8"/>
    <sheet name="Freq. Needed Info. " sheetId="24" r:id="rId9"/>
  </sheets>
  <externalReferences>
    <externalReference r:id="rId10"/>
  </externalReferences>
  <definedNames>
    <definedName name="FringeBenefits" localSheetId="5">#REF!</definedName>
    <definedName name="FringeBenefits" localSheetId="3">BudgetForm!$C$42:$C$51</definedName>
    <definedName name="FringeBenefits" localSheetId="8">'Freq. Needed Info. '!$C$42:$C$51</definedName>
    <definedName name="FringeBenefits">#REF!</definedName>
    <definedName name="IndirectCosts" localSheetId="5">#REF!</definedName>
    <definedName name="IndirectCosts" localSheetId="3">BudgetForm!$D$85:$D$85</definedName>
    <definedName name="IndirectCosts" localSheetId="8">'Freq. Needed Info. '!$D$85:$D$85</definedName>
    <definedName name="IndirectCosts">#REF!</definedName>
    <definedName name="Off_Campus">Estimation!#REF!</definedName>
    <definedName name="ok" localSheetId="5">#REF!</definedName>
    <definedName name="ok">#REF!</definedName>
    <definedName name="On_Campus">Estimation!#REF!</definedName>
    <definedName name="OtherDirectCosts" localSheetId="5">#REF!</definedName>
    <definedName name="OtherDirectCosts" localSheetId="3">BudgetForm!$B$74:$B$78</definedName>
    <definedName name="OtherDirectCosts" localSheetId="8">'Freq. Needed Info. '!$B$74:$B$78</definedName>
    <definedName name="OtherDirectCosts">#REF!</definedName>
    <definedName name="_xlnm.Print_Area" localSheetId="5">'1-CS Summary'!$A$1:$S$68</definedName>
    <definedName name="_xlnm.Print_Area" localSheetId="6">'2-CS In-Kind'!$A$1:$K$54</definedName>
    <definedName name="_xlnm.Print_Area" localSheetId="7">'3-CS External'!$A$1:$K$44</definedName>
    <definedName name="_xlnm.Print_Area" localSheetId="3">BudgetForm!$A$1:$AA$91</definedName>
    <definedName name="_xlnm.Print_Area" localSheetId="0">Estimation!$B$5:$AE$217</definedName>
    <definedName name="_xlnm.Print_Area" localSheetId="8">'Freq. Needed Info. '!$A$1:$AA$91</definedName>
    <definedName name="_xlnm.Print_Titles" localSheetId="5">'1-CS Summary'!$1:$5</definedName>
    <definedName name="Z_57C5C8F1_8001_4F07_BD71_B2E547A208C7_.wvu.Cols" localSheetId="0" hidden="1">Estimation!#REF!,Estimation!#REF!,Estimation!#REF!,Estimation!#REF!,Estimation!#REF!,Estimation!#REF!</definedName>
    <definedName name="Z_57C5C8F1_8001_4F07_BD71_B2E547A208C7_.wvu.FilterData" localSheetId="0" hidden="1">Estimation!#REF!</definedName>
    <definedName name="Z_57C5C8F1_8001_4F07_BD71_B2E547A208C7_.wvu.PrintArea" localSheetId="0" hidden="1">Estimation!$B$1:$AE$217</definedName>
    <definedName name="Z_57C5C8F1_8001_4F07_BD71_B2E547A208C7_.wvu.Rows" localSheetId="3" hidden="1">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definedName>
    <definedName name="Z_57C5C8F1_8001_4F07_BD71_B2E547A208C7_.wvu.Rows" localSheetId="8" hidden="1">'Freq.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definedName>
    <definedName name="Z_EEFF5A2A_628E_4803_AAD1_B24B534F2503_.wvu.Cols" localSheetId="0" hidden="1">Estimation!#REF!,Estimation!#REF!,Estimation!#REF!,Estimation!#REF!,Estimation!#REF!,Estimation!#REF!</definedName>
    <definedName name="Z_EEFF5A2A_628E_4803_AAD1_B24B534F2503_.wvu.FilterData" localSheetId="0" hidden="1">Estimation!#REF!</definedName>
    <definedName name="Z_EEFF5A2A_628E_4803_AAD1_B24B534F2503_.wvu.PrintArea" localSheetId="0" hidden="1">Estimation!$B$1:$AE$217</definedName>
    <definedName name="Z_EEFF5A2A_628E_4803_AAD1_B24B534F2503_.wvu.Rows" localSheetId="3" hidden="1">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BudgetForm!#REF!</definedName>
    <definedName name="Z_EEFF5A2A_628E_4803_AAD1_B24B534F2503_.wvu.Rows" localSheetId="8" hidden="1">'Freq.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'!#REF!,'Freq. Needed Info. '!#REF!</definedName>
  </definedNames>
  <calcPr calcId="191029" fullPrecision="0"/>
  <customWorkbookViews>
    <customWorkbookView name="HideRows=0" guid="{57C5C8F1-8001-4F07-BD71-B2E547A208C7}" maximized="1" xWindow="1912" yWindow="-8" windowWidth="1936" windowHeight="1096" activeSheetId="1"/>
    <customWorkbookView name="ShowAll" guid="{EEFF5A2A-628E-4803-AAD1-B24B534F2503}" maximized="1" xWindow="1912" yWindow="-8" windowWidth="1936" windowHeight="1096"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A58" i="1" l="1"/>
  <c r="CE58" i="1" s="1"/>
  <c r="CI58" i="1" s="1"/>
  <c r="CM58" i="1" s="1"/>
  <c r="CQ58" i="1" s="1"/>
  <c r="BZ58" i="1"/>
  <c r="CD58" i="1" s="1"/>
  <c r="BK58" i="1"/>
  <c r="BO58" i="1" s="1"/>
  <c r="BS58" i="1" s="1"/>
  <c r="BW58" i="1" s="1"/>
  <c r="BJ58" i="1"/>
  <c r="BN58" i="1" s="1"/>
  <c r="BH58" i="1"/>
  <c r="J58" i="1" s="1"/>
  <c r="D58" i="1"/>
  <c r="CD57" i="1"/>
  <c r="CF57" i="1" s="1"/>
  <c r="CA57" i="1"/>
  <c r="CE57" i="1" s="1"/>
  <c r="CI57" i="1" s="1"/>
  <c r="CM57" i="1" s="1"/>
  <c r="CQ57" i="1" s="1"/>
  <c r="BZ57" i="1"/>
  <c r="CB57" i="1" s="1"/>
  <c r="BN57" i="1"/>
  <c r="BK57" i="1"/>
  <c r="BO57" i="1" s="1"/>
  <c r="BS57" i="1" s="1"/>
  <c r="BW57" i="1" s="1"/>
  <c r="BJ57" i="1"/>
  <c r="BL57" i="1" s="1"/>
  <c r="BH57" i="1"/>
  <c r="AF57" i="1" s="1"/>
  <c r="J57" i="1"/>
  <c r="D57" i="1"/>
  <c r="CA55" i="1"/>
  <c r="CE55" i="1" s="1"/>
  <c r="CI55" i="1" s="1"/>
  <c r="CM55" i="1" s="1"/>
  <c r="CQ55" i="1" s="1"/>
  <c r="BZ55" i="1"/>
  <c r="CD55" i="1" s="1"/>
  <c r="BK55" i="1"/>
  <c r="BO55" i="1" s="1"/>
  <c r="BS55" i="1" s="1"/>
  <c r="BW55" i="1" s="1"/>
  <c r="BJ55" i="1"/>
  <c r="BN55" i="1" s="1"/>
  <c r="BH55" i="1"/>
  <c r="AF55" i="1"/>
  <c r="J55" i="1"/>
  <c r="D55" i="1"/>
  <c r="CE54" i="1"/>
  <c r="CI54" i="1" s="1"/>
  <c r="CM54" i="1" s="1"/>
  <c r="CQ54" i="1" s="1"/>
  <c r="CA54" i="1"/>
  <c r="BZ54" i="1"/>
  <c r="CD54" i="1" s="1"/>
  <c r="BO54" i="1"/>
  <c r="BS54" i="1" s="1"/>
  <c r="BW54" i="1" s="1"/>
  <c r="BK54" i="1"/>
  <c r="BJ54" i="1"/>
  <c r="BN54" i="1" s="1"/>
  <c r="BH54" i="1"/>
  <c r="J54" i="1" s="1"/>
  <c r="D54" i="1"/>
  <c r="CD52" i="1"/>
  <c r="CA52" i="1"/>
  <c r="CE52" i="1" s="1"/>
  <c r="CI52" i="1" s="1"/>
  <c r="CM52" i="1" s="1"/>
  <c r="CQ52" i="1" s="1"/>
  <c r="BZ52" i="1"/>
  <c r="CB52" i="1" s="1"/>
  <c r="BO52" i="1"/>
  <c r="BS52" i="1" s="1"/>
  <c r="BW52" i="1" s="1"/>
  <c r="BN52" i="1"/>
  <c r="BP52" i="1" s="1"/>
  <c r="BK52" i="1"/>
  <c r="BJ52" i="1"/>
  <c r="BL52" i="1" s="1"/>
  <c r="BH52" i="1"/>
  <c r="AF52" i="1"/>
  <c r="J52" i="1"/>
  <c r="D52" i="1"/>
  <c r="CA51" i="1"/>
  <c r="CE51" i="1" s="1"/>
  <c r="CI51" i="1" s="1"/>
  <c r="CM51" i="1" s="1"/>
  <c r="CQ51" i="1" s="1"/>
  <c r="BZ51" i="1"/>
  <c r="CD51" i="1" s="1"/>
  <c r="BK51" i="1"/>
  <c r="BO51" i="1" s="1"/>
  <c r="BS51" i="1" s="1"/>
  <c r="BW51" i="1" s="1"/>
  <c r="BJ51" i="1"/>
  <c r="BN51" i="1" s="1"/>
  <c r="BH51" i="1"/>
  <c r="AF51" i="1"/>
  <c r="J51" i="1"/>
  <c r="D51" i="1"/>
  <c r="CE49" i="1"/>
  <c r="CI49" i="1" s="1"/>
  <c r="CM49" i="1" s="1"/>
  <c r="CQ49" i="1" s="1"/>
  <c r="CA49" i="1"/>
  <c r="BZ49" i="1"/>
  <c r="CD49" i="1" s="1"/>
  <c r="BO49" i="1"/>
  <c r="BS49" i="1" s="1"/>
  <c r="BW49" i="1" s="1"/>
  <c r="BK49" i="1"/>
  <c r="BJ49" i="1"/>
  <c r="BN49" i="1" s="1"/>
  <c r="BH49" i="1"/>
  <c r="J49" i="1" s="1"/>
  <c r="D49" i="1"/>
  <c r="CE48" i="1"/>
  <c r="CI48" i="1" s="1"/>
  <c r="CM48" i="1" s="1"/>
  <c r="CQ48" i="1" s="1"/>
  <c r="CD48" i="1"/>
  <c r="CH48" i="1" s="1"/>
  <c r="CA48" i="1"/>
  <c r="BZ48" i="1"/>
  <c r="CB48" i="1" s="1"/>
  <c r="BO48" i="1"/>
  <c r="BS48" i="1" s="1"/>
  <c r="BW48" i="1" s="1"/>
  <c r="BN48" i="1"/>
  <c r="BP48" i="1" s="1"/>
  <c r="BK48" i="1"/>
  <c r="BJ48" i="1"/>
  <c r="BL48" i="1" s="1"/>
  <c r="BH48" i="1"/>
  <c r="AF48" i="1"/>
  <c r="J48" i="1"/>
  <c r="D48" i="1"/>
  <c r="L57" i="1" l="1"/>
  <c r="AH57" i="1"/>
  <c r="T57" i="1"/>
  <c r="AP57" i="1"/>
  <c r="BR51" i="1"/>
  <c r="BP51" i="1"/>
  <c r="BP49" i="1"/>
  <c r="BR49" i="1"/>
  <c r="CH51" i="1"/>
  <c r="CF51" i="1"/>
  <c r="CF52" i="1"/>
  <c r="N52" i="1"/>
  <c r="AJ52" i="1"/>
  <c r="BP57" i="1"/>
  <c r="BR55" i="1"/>
  <c r="BP55" i="1"/>
  <c r="V57" i="1"/>
  <c r="AR57" i="1"/>
  <c r="CL48" i="1"/>
  <c r="CJ48" i="1"/>
  <c r="T52" i="1"/>
  <c r="AP52" i="1"/>
  <c r="N48" i="1"/>
  <c r="AJ48" i="1"/>
  <c r="BR58" i="1"/>
  <c r="BP58" i="1"/>
  <c r="L48" i="1"/>
  <c r="AH48" i="1"/>
  <c r="BP54" i="1"/>
  <c r="BR54" i="1"/>
  <c r="V49" i="1"/>
  <c r="CH49" i="1"/>
  <c r="CF49" i="1"/>
  <c r="CH55" i="1"/>
  <c r="CF55" i="1"/>
  <c r="T48" i="1"/>
  <c r="AP48" i="1"/>
  <c r="L52" i="1"/>
  <c r="AH52" i="1"/>
  <c r="CF54" i="1"/>
  <c r="CH54" i="1"/>
  <c r="CF58" i="1"/>
  <c r="CH58" i="1"/>
  <c r="BL51" i="1"/>
  <c r="CB51" i="1"/>
  <c r="BL55" i="1"/>
  <c r="CB55" i="1"/>
  <c r="AF49" i="1"/>
  <c r="AF54" i="1"/>
  <c r="AF58" i="1"/>
  <c r="CF48" i="1"/>
  <c r="BR48" i="1"/>
  <c r="BL49" i="1"/>
  <c r="CB49" i="1"/>
  <c r="BR52" i="1"/>
  <c r="CH52" i="1"/>
  <c r="BL54" i="1"/>
  <c r="CB54" i="1"/>
  <c r="BR57" i="1"/>
  <c r="CH57" i="1"/>
  <c r="BL58" i="1"/>
  <c r="CB58" i="1"/>
  <c r="V51" i="1" l="1"/>
  <c r="AR51" i="1"/>
  <c r="V54" i="1"/>
  <c r="AR54" i="1"/>
  <c r="T55" i="1"/>
  <c r="AP55" i="1"/>
  <c r="N49" i="1"/>
  <c r="AJ49" i="1"/>
  <c r="CL51" i="1"/>
  <c r="CJ51" i="1"/>
  <c r="CL57" i="1"/>
  <c r="CJ57" i="1"/>
  <c r="AT48" i="1"/>
  <c r="X48" i="1"/>
  <c r="AH54" i="1"/>
  <c r="L54" i="1"/>
  <c r="AH51" i="1"/>
  <c r="L51" i="1"/>
  <c r="N58" i="1"/>
  <c r="AJ58" i="1"/>
  <c r="BV57" i="1"/>
  <c r="BX57" i="1" s="1"/>
  <c r="BT57" i="1"/>
  <c r="AP54" i="1"/>
  <c r="T54" i="1"/>
  <c r="V55" i="1"/>
  <c r="AR55" i="1"/>
  <c r="N51" i="1"/>
  <c r="AJ51" i="1"/>
  <c r="T51" i="1"/>
  <c r="AP51" i="1"/>
  <c r="CJ52" i="1"/>
  <c r="CL52" i="1"/>
  <c r="BV58" i="1"/>
  <c r="BX58" i="1" s="1"/>
  <c r="BT58" i="1"/>
  <c r="AH58" i="1"/>
  <c r="L58" i="1"/>
  <c r="V52" i="1"/>
  <c r="AR52" i="1"/>
  <c r="BV54" i="1"/>
  <c r="BX54" i="1" s="1"/>
  <c r="BT54" i="1"/>
  <c r="AH55" i="1"/>
  <c r="L55" i="1"/>
  <c r="BV49" i="1"/>
  <c r="BX49" i="1" s="1"/>
  <c r="BT49" i="1"/>
  <c r="BV52" i="1"/>
  <c r="BX52" i="1" s="1"/>
  <c r="BT52" i="1"/>
  <c r="N55" i="1"/>
  <c r="AJ55" i="1"/>
  <c r="CL58" i="1"/>
  <c r="CJ58" i="1"/>
  <c r="BV51" i="1"/>
  <c r="BX51" i="1" s="1"/>
  <c r="BT51" i="1"/>
  <c r="N54" i="1"/>
  <c r="AJ54" i="1"/>
  <c r="CP48" i="1"/>
  <c r="CR48" i="1" s="1"/>
  <c r="CN48" i="1"/>
  <c r="CL55" i="1"/>
  <c r="CJ55" i="1"/>
  <c r="AP49" i="1"/>
  <c r="T49" i="1"/>
  <c r="L49" i="1"/>
  <c r="AH49" i="1"/>
  <c r="X49" i="1"/>
  <c r="AR49" i="1"/>
  <c r="BV55" i="1"/>
  <c r="BX55" i="1" s="1"/>
  <c r="BT55" i="1"/>
  <c r="BV48" i="1"/>
  <c r="BX48" i="1" s="1"/>
  <c r="BT48" i="1"/>
  <c r="V58" i="1"/>
  <c r="AR58" i="1"/>
  <c r="CL49" i="1"/>
  <c r="Z49" i="1"/>
  <c r="CJ49" i="1"/>
  <c r="N57" i="1"/>
  <c r="AJ57" i="1"/>
  <c r="V48" i="1"/>
  <c r="AR48" i="1"/>
  <c r="AP58" i="1"/>
  <c r="T58" i="1"/>
  <c r="CL54" i="1"/>
  <c r="CJ54" i="1"/>
  <c r="AL54" i="1" l="1"/>
  <c r="P54" i="1"/>
  <c r="R51" i="1"/>
  <c r="AN51" i="1"/>
  <c r="X58" i="1"/>
  <c r="AT58" i="1"/>
  <c r="CN58" i="1"/>
  <c r="CP58" i="1"/>
  <c r="CR58" i="1" s="1"/>
  <c r="CN49" i="1"/>
  <c r="AV49" i="1" s="1"/>
  <c r="CP49" i="1"/>
  <c r="CR49" i="1" s="1"/>
  <c r="AX49" i="1" s="1"/>
  <c r="R55" i="1"/>
  <c r="AN55" i="1"/>
  <c r="P51" i="1"/>
  <c r="AL51" i="1"/>
  <c r="CN54" i="1"/>
  <c r="CP54" i="1"/>
  <c r="CR54" i="1" s="1"/>
  <c r="R58" i="1"/>
  <c r="AN58" i="1"/>
  <c r="AL57" i="1"/>
  <c r="P57" i="1"/>
  <c r="X54" i="1"/>
  <c r="AT54" i="1"/>
  <c r="AL52" i="1"/>
  <c r="P52" i="1"/>
  <c r="CP57" i="1"/>
  <c r="CR57" i="1" s="1"/>
  <c r="CN57" i="1"/>
  <c r="CS57" i="1" s="1"/>
  <c r="P48" i="1"/>
  <c r="AD48" i="1" s="1"/>
  <c r="AL48" i="1"/>
  <c r="AV48" i="1"/>
  <c r="Z48" i="1"/>
  <c r="AL49" i="1"/>
  <c r="P49" i="1"/>
  <c r="AD49" i="1" s="1"/>
  <c r="CP52" i="1"/>
  <c r="CR52" i="1" s="1"/>
  <c r="CN52" i="1"/>
  <c r="R57" i="1"/>
  <c r="AN57" i="1"/>
  <c r="AT51" i="1"/>
  <c r="X51" i="1"/>
  <c r="AT57" i="1"/>
  <c r="X57" i="1"/>
  <c r="X55" i="1"/>
  <c r="AT55" i="1"/>
  <c r="CN55" i="1"/>
  <c r="CS55" i="1" s="1"/>
  <c r="CP55" i="1"/>
  <c r="CR55" i="1" s="1"/>
  <c r="R48" i="1"/>
  <c r="AN48" i="1"/>
  <c r="CS48" i="1"/>
  <c r="AX48" i="1"/>
  <c r="AB48" i="1"/>
  <c r="CS49" i="1"/>
  <c r="AN49" i="1"/>
  <c r="R49" i="1"/>
  <c r="AT52" i="1"/>
  <c r="X52" i="1"/>
  <c r="CN51" i="1"/>
  <c r="CP51" i="1"/>
  <c r="CR51" i="1" s="1"/>
  <c r="R54" i="1"/>
  <c r="AN54" i="1"/>
  <c r="AB49" i="1"/>
  <c r="AT49" i="1"/>
  <c r="AL58" i="1"/>
  <c r="P58" i="1"/>
  <c r="R52" i="1"/>
  <c r="AN52" i="1"/>
  <c r="P55" i="1"/>
  <c r="AL55" i="1"/>
  <c r="AZ58" i="1" l="1"/>
  <c r="AB54" i="1"/>
  <c r="AX54" i="1"/>
  <c r="AZ54" i="1" s="1"/>
  <c r="Z54" i="1"/>
  <c r="AD54" i="1" s="1"/>
  <c r="AV54" i="1"/>
  <c r="AX55" i="1"/>
  <c r="AB55" i="1"/>
  <c r="Z57" i="1"/>
  <c r="AD57" i="1" s="1"/>
  <c r="AV57" i="1"/>
  <c r="AZ57" i="1" s="1"/>
  <c r="AD52" i="1"/>
  <c r="Z51" i="1"/>
  <c r="AD51" i="1" s="1"/>
  <c r="AV51" i="1"/>
  <c r="AZ51" i="1" s="1"/>
  <c r="CS54" i="1"/>
  <c r="AX57" i="1"/>
  <c r="AB57" i="1"/>
  <c r="AB51" i="1"/>
  <c r="AX51" i="1"/>
  <c r="Z52" i="1"/>
  <c r="AV52" i="1"/>
  <c r="AZ52" i="1" s="1"/>
  <c r="AZ49" i="1"/>
  <c r="AB58" i="1"/>
  <c r="AD58" i="1" s="1"/>
  <c r="AX58" i="1"/>
  <c r="CS51" i="1"/>
  <c r="Z55" i="1"/>
  <c r="AD55" i="1" s="1"/>
  <c r="AV55" i="1"/>
  <c r="AZ55" i="1" s="1"/>
  <c r="CS52" i="1"/>
  <c r="AX52" i="1"/>
  <c r="AB52" i="1"/>
  <c r="AZ48" i="1"/>
  <c r="CS58" i="1"/>
  <c r="Z58" i="1"/>
  <c r="AV58" i="1"/>
  <c r="AB30" i="1" l="1"/>
  <c r="Z30" i="1"/>
  <c r="X30" i="1"/>
  <c r="V30" i="1"/>
  <c r="T30" i="1"/>
  <c r="R30" i="1"/>
  <c r="P30" i="1"/>
  <c r="N30" i="1"/>
  <c r="L30" i="1"/>
  <c r="J30" i="1"/>
  <c r="AB28" i="1"/>
  <c r="Z28" i="1"/>
  <c r="X28" i="1"/>
  <c r="V28" i="1"/>
  <c r="T28" i="1"/>
  <c r="R28" i="1"/>
  <c r="P28" i="1"/>
  <c r="N28" i="1"/>
  <c r="L28" i="1"/>
  <c r="J28" i="1"/>
  <c r="AD28" i="1" s="1"/>
  <c r="AB26" i="1"/>
  <c r="Z26" i="1"/>
  <c r="X26" i="1"/>
  <c r="V26" i="1"/>
  <c r="T26" i="1"/>
  <c r="R26" i="1"/>
  <c r="P26" i="1"/>
  <c r="N26" i="1"/>
  <c r="L26" i="1"/>
  <c r="J26" i="1"/>
  <c r="AB24" i="1"/>
  <c r="Z24" i="1"/>
  <c r="X24" i="1"/>
  <c r="V24" i="1"/>
  <c r="T24" i="1"/>
  <c r="R24" i="1"/>
  <c r="P24" i="1"/>
  <c r="N24" i="1"/>
  <c r="L24" i="1"/>
  <c r="J24" i="1"/>
  <c r="AZ181" i="1"/>
  <c r="AD181" i="1"/>
  <c r="AZ183" i="1"/>
  <c r="AD183" i="1"/>
  <c r="AZ184" i="1"/>
  <c r="AD184" i="1"/>
  <c r="AD26" i="1" l="1"/>
  <c r="AD30" i="1"/>
  <c r="AD24" i="1"/>
  <c r="B94" i="17" l="1"/>
  <c r="B93" i="17"/>
  <c r="M11" i="24" l="1"/>
  <c r="M9" i="24"/>
  <c r="C9" i="24"/>
  <c r="E7" i="24"/>
  <c r="M6" i="24"/>
  <c r="E6" i="24"/>
  <c r="M5" i="24"/>
  <c r="E5" i="24"/>
  <c r="H207" i="1" l="1"/>
  <c r="AX64" i="1" l="1"/>
  <c r="AX62" i="1"/>
  <c r="AX60" i="1"/>
  <c r="AV64" i="1"/>
  <c r="AV62" i="1"/>
  <c r="AV60" i="1"/>
  <c r="AT64" i="1"/>
  <c r="AT62" i="1"/>
  <c r="AT60" i="1"/>
  <c r="AR64" i="1"/>
  <c r="AR62" i="1"/>
  <c r="AR60" i="1"/>
  <c r="AP64" i="1"/>
  <c r="AP62" i="1"/>
  <c r="AP60" i="1"/>
  <c r="T191" i="1" l="1"/>
  <c r="N191" i="1"/>
  <c r="AB191" i="1"/>
  <c r="L191" i="1"/>
  <c r="J191" i="1"/>
  <c r="Z191" i="1"/>
  <c r="X191" i="1"/>
  <c r="V191" i="1"/>
  <c r="R191" i="1"/>
  <c r="P191" i="1"/>
  <c r="N194" i="1"/>
  <c r="L194" i="1"/>
  <c r="J196" i="1"/>
  <c r="J194" i="1"/>
  <c r="L196" i="1"/>
  <c r="L195" i="1"/>
  <c r="J197" i="1"/>
  <c r="J195" i="1"/>
  <c r="CR64" i="1"/>
  <c r="CR62" i="1"/>
  <c r="CR60" i="1"/>
  <c r="CN64" i="1"/>
  <c r="CN62" i="1"/>
  <c r="CN60" i="1"/>
  <c r="CJ64" i="1"/>
  <c r="CJ62" i="1"/>
  <c r="CJ60" i="1"/>
  <c r="CF64" i="1"/>
  <c r="CF62" i="1"/>
  <c r="CF60" i="1"/>
  <c r="CB64" i="1"/>
  <c r="CB62" i="1"/>
  <c r="CB60" i="1"/>
  <c r="BX64" i="1"/>
  <c r="AN64" i="1" s="1"/>
  <c r="BX62" i="1"/>
  <c r="AN62" i="1" s="1"/>
  <c r="BX60" i="1"/>
  <c r="AN60" i="1" s="1"/>
  <c r="BT64" i="1"/>
  <c r="AL64" i="1" s="1"/>
  <c r="BT62" i="1"/>
  <c r="AL62" i="1" s="1"/>
  <c r="BT60" i="1"/>
  <c r="AL60" i="1" s="1"/>
  <c r="BP64" i="1"/>
  <c r="AJ64" i="1" s="1"/>
  <c r="BP62" i="1"/>
  <c r="AJ62" i="1" s="1"/>
  <c r="BP60" i="1"/>
  <c r="AJ60" i="1" s="1"/>
  <c r="BL64" i="1"/>
  <c r="AH64" i="1" s="1"/>
  <c r="BL62" i="1"/>
  <c r="AH62" i="1" s="1"/>
  <c r="BL60" i="1"/>
  <c r="AH60" i="1" s="1"/>
  <c r="BH64" i="1"/>
  <c r="AF64" i="1" s="1"/>
  <c r="BH62" i="1"/>
  <c r="AF62" i="1" s="1"/>
  <c r="BH60" i="1"/>
  <c r="AF60" i="1" s="1"/>
  <c r="AZ62" i="1" l="1"/>
  <c r="AZ64" i="1"/>
  <c r="AZ60" i="1"/>
  <c r="CS60" i="1"/>
  <c r="C36" i="17" l="1"/>
  <c r="D64" i="1"/>
  <c r="D62" i="1"/>
  <c r="D60" i="1"/>
  <c r="AB62" i="1" l="1"/>
  <c r="AB64" i="1"/>
  <c r="AB60" i="1"/>
  <c r="Z62" i="1"/>
  <c r="Z64" i="1"/>
  <c r="Z60" i="1"/>
  <c r="X62" i="1"/>
  <c r="X64" i="1"/>
  <c r="X60" i="1"/>
  <c r="V62" i="1"/>
  <c r="V64" i="1"/>
  <c r="V60" i="1"/>
  <c r="T64" i="1"/>
  <c r="T62" i="1"/>
  <c r="T60" i="1"/>
  <c r="R62" i="1"/>
  <c r="R64" i="1"/>
  <c r="P62" i="1"/>
  <c r="P64" i="1"/>
  <c r="N64" i="1"/>
  <c r="N62" i="1"/>
  <c r="L62" i="1"/>
  <c r="L64" i="1"/>
  <c r="J60" i="1"/>
  <c r="BH22" i="1"/>
  <c r="J22" i="1" s="1"/>
  <c r="BH42" i="1"/>
  <c r="J64" i="1"/>
  <c r="J62" i="1"/>
  <c r="P60" i="1" l="1"/>
  <c r="L60" i="1"/>
  <c r="N60" i="1"/>
  <c r="R60" i="1"/>
  <c r="AD64" i="1"/>
  <c r="AD62" i="1"/>
  <c r="AB144" i="1"/>
  <c r="Z144" i="1"/>
  <c r="X144" i="1"/>
  <c r="V144" i="1"/>
  <c r="T144" i="1"/>
  <c r="R144" i="1"/>
  <c r="P144" i="1"/>
  <c r="N144" i="1"/>
  <c r="L144" i="1"/>
  <c r="J144" i="1"/>
  <c r="AB138" i="1"/>
  <c r="Z138" i="1"/>
  <c r="X138" i="1"/>
  <c r="V138" i="1"/>
  <c r="T138" i="1"/>
  <c r="R138" i="1"/>
  <c r="P138" i="1"/>
  <c r="N138" i="1"/>
  <c r="L138" i="1"/>
  <c r="J138" i="1"/>
  <c r="AB132" i="1"/>
  <c r="Z132" i="1"/>
  <c r="X132" i="1"/>
  <c r="V132" i="1"/>
  <c r="T132" i="1"/>
  <c r="R132" i="1"/>
  <c r="P132" i="1"/>
  <c r="N132" i="1"/>
  <c r="L132" i="1"/>
  <c r="J132" i="1"/>
  <c r="AB126" i="1"/>
  <c r="Z126" i="1"/>
  <c r="X126" i="1"/>
  <c r="V126" i="1"/>
  <c r="T126" i="1"/>
  <c r="R126" i="1"/>
  <c r="P126" i="1"/>
  <c r="N126" i="1"/>
  <c r="L126" i="1"/>
  <c r="J126" i="1"/>
  <c r="AB120" i="1"/>
  <c r="Z120" i="1"/>
  <c r="X120" i="1"/>
  <c r="V120" i="1"/>
  <c r="T120" i="1"/>
  <c r="R120" i="1"/>
  <c r="P120" i="1"/>
  <c r="N120" i="1"/>
  <c r="L120" i="1"/>
  <c r="J120" i="1"/>
  <c r="J121" i="1" s="1"/>
  <c r="AB114" i="1"/>
  <c r="Z114" i="1"/>
  <c r="X114" i="1"/>
  <c r="V114" i="1"/>
  <c r="T114" i="1"/>
  <c r="R114" i="1"/>
  <c r="P114" i="1"/>
  <c r="N114" i="1"/>
  <c r="L114" i="1"/>
  <c r="J114" i="1"/>
  <c r="AB108" i="1"/>
  <c r="Z108" i="1"/>
  <c r="X108" i="1"/>
  <c r="V108" i="1"/>
  <c r="T108" i="1"/>
  <c r="R108" i="1"/>
  <c r="P108" i="1"/>
  <c r="N108" i="1"/>
  <c r="L108" i="1"/>
  <c r="J108" i="1"/>
  <c r="L102" i="1"/>
  <c r="L103" i="1" s="1"/>
  <c r="T102" i="1"/>
  <c r="AB102" i="1"/>
  <c r="Z102" i="1"/>
  <c r="X102" i="1"/>
  <c r="V102" i="1"/>
  <c r="R102" i="1"/>
  <c r="P102" i="1"/>
  <c r="N102" i="1"/>
  <c r="J102" i="1"/>
  <c r="J103" i="1" s="1"/>
  <c r="A10" i="20"/>
  <c r="A4" i="20"/>
  <c r="AD60" i="1" l="1"/>
  <c r="AD108" i="1"/>
  <c r="AD102" i="1"/>
  <c r="E34" i="23"/>
  <c r="E32" i="23"/>
  <c r="E30" i="23"/>
  <c r="E28" i="23"/>
  <c r="E26" i="23"/>
  <c r="C46" i="17"/>
  <c r="C31" i="17"/>
  <c r="H31" i="17" s="1"/>
  <c r="V194" i="1"/>
  <c r="AB197" i="1"/>
  <c r="AB196" i="1"/>
  <c r="AB195" i="1"/>
  <c r="AB194" i="1"/>
  <c r="Z197" i="1"/>
  <c r="Z196" i="1"/>
  <c r="Z195" i="1"/>
  <c r="Z194" i="1"/>
  <c r="X197" i="1"/>
  <c r="X196" i="1"/>
  <c r="X195" i="1"/>
  <c r="X194" i="1"/>
  <c r="V197" i="1"/>
  <c r="V196" i="1"/>
  <c r="V195" i="1"/>
  <c r="T194" i="1"/>
  <c r="R194" i="1"/>
  <c r="T197" i="1"/>
  <c r="T196" i="1"/>
  <c r="T195" i="1"/>
  <c r="R197" i="1"/>
  <c r="R196" i="1"/>
  <c r="R195" i="1"/>
  <c r="P197" i="1"/>
  <c r="P196" i="1"/>
  <c r="P195" i="1"/>
  <c r="P194" i="1"/>
  <c r="N197" i="1"/>
  <c r="N196" i="1"/>
  <c r="N195" i="1"/>
  <c r="L197" i="1"/>
  <c r="Z200" i="1" l="1"/>
  <c r="V200" i="1"/>
  <c r="T200" i="1"/>
  <c r="AB200" i="1"/>
  <c r="X200" i="1"/>
  <c r="F31" i="17"/>
  <c r="T31" i="17"/>
  <c r="V31" i="17"/>
  <c r="R31" i="17"/>
  <c r="P31" i="17"/>
  <c r="N31" i="17"/>
  <c r="L31" i="17"/>
  <c r="J31" i="17"/>
  <c r="X31" i="17"/>
  <c r="AD197" i="1"/>
  <c r="AD195" i="1"/>
  <c r="AD196" i="1"/>
  <c r="AD194" i="1"/>
  <c r="AD192" i="1"/>
  <c r="A27" i="20"/>
  <c r="A3" i="20"/>
  <c r="M48" i="20"/>
  <c r="L48" i="20"/>
  <c r="K48" i="20"/>
  <c r="J48" i="20"/>
  <c r="I48" i="20"/>
  <c r="H48" i="20"/>
  <c r="G48" i="20"/>
  <c r="F48" i="20"/>
  <c r="E48" i="20"/>
  <c r="D48" i="20"/>
  <c r="A48" i="20"/>
  <c r="M42" i="20"/>
  <c r="L42" i="20"/>
  <c r="K42" i="20"/>
  <c r="J42" i="20"/>
  <c r="I42" i="20"/>
  <c r="H42" i="20"/>
  <c r="G42" i="20"/>
  <c r="F42" i="20"/>
  <c r="E42" i="20"/>
  <c r="D42" i="20"/>
  <c r="A42" i="20"/>
  <c r="M36" i="20"/>
  <c r="L36" i="20"/>
  <c r="K36" i="20"/>
  <c r="J36" i="20"/>
  <c r="I36" i="20"/>
  <c r="H36" i="20"/>
  <c r="G36" i="20"/>
  <c r="F36" i="20"/>
  <c r="E36" i="20"/>
  <c r="D36" i="20"/>
  <c r="A36" i="20"/>
  <c r="M29" i="20"/>
  <c r="L29" i="20"/>
  <c r="K29" i="20"/>
  <c r="J29" i="20"/>
  <c r="I29" i="20"/>
  <c r="H29" i="20"/>
  <c r="G29" i="20"/>
  <c r="F29" i="20"/>
  <c r="E29" i="20"/>
  <c r="D29" i="20"/>
  <c r="A29" i="20"/>
  <c r="M22" i="20"/>
  <c r="L22" i="20"/>
  <c r="K22" i="20"/>
  <c r="J22" i="20"/>
  <c r="I22" i="20"/>
  <c r="H22" i="20"/>
  <c r="G22" i="20"/>
  <c r="F22" i="20"/>
  <c r="E22" i="20"/>
  <c r="D22" i="20"/>
  <c r="A22" i="20"/>
  <c r="M16" i="20"/>
  <c r="L16" i="20"/>
  <c r="K16" i="20"/>
  <c r="J16" i="20"/>
  <c r="I16" i="20"/>
  <c r="H16" i="20"/>
  <c r="G16" i="20"/>
  <c r="F16" i="20"/>
  <c r="E16" i="20"/>
  <c r="D16" i="20"/>
  <c r="A16" i="20"/>
  <c r="M10" i="20"/>
  <c r="L10" i="20"/>
  <c r="K10" i="20"/>
  <c r="J10" i="20"/>
  <c r="I10" i="20"/>
  <c r="H10" i="20"/>
  <c r="G10" i="20"/>
  <c r="F10" i="20"/>
  <c r="E10" i="20"/>
  <c r="D10" i="20"/>
  <c r="A56" i="20"/>
  <c r="A47" i="20"/>
  <c r="A41" i="20"/>
  <c r="A35" i="20"/>
  <c r="A34" i="20"/>
  <c r="B28" i="20"/>
  <c r="A28" i="20"/>
  <c r="A21" i="20"/>
  <c r="A15" i="20"/>
  <c r="A9" i="20"/>
  <c r="A2" i="20"/>
  <c r="D4" i="20"/>
  <c r="M4" i="20"/>
  <c r="L4" i="20"/>
  <c r="K4" i="20"/>
  <c r="J4" i="20"/>
  <c r="I4" i="20"/>
  <c r="H4" i="20"/>
  <c r="G4" i="20"/>
  <c r="F4" i="20"/>
  <c r="E4" i="20"/>
  <c r="AB148" i="1"/>
  <c r="AB147" i="1"/>
  <c r="AB146" i="1"/>
  <c r="AB145" i="1"/>
  <c r="Z148" i="1"/>
  <c r="Z147" i="1"/>
  <c r="Z146" i="1"/>
  <c r="Z145" i="1"/>
  <c r="X148" i="1"/>
  <c r="X147" i="1"/>
  <c r="X146" i="1"/>
  <c r="X145" i="1"/>
  <c r="V148" i="1"/>
  <c r="V147" i="1"/>
  <c r="V146" i="1"/>
  <c r="V145" i="1"/>
  <c r="T148" i="1"/>
  <c r="T147" i="1"/>
  <c r="T146" i="1"/>
  <c r="T145" i="1"/>
  <c r="R145" i="1"/>
  <c r="AD144" i="1"/>
  <c r="N48" i="20" s="1"/>
  <c r="AB142" i="1"/>
  <c r="AB141" i="1"/>
  <c r="AB140" i="1"/>
  <c r="AB139" i="1"/>
  <c r="Z142" i="1"/>
  <c r="Z141" i="1"/>
  <c r="Z140" i="1"/>
  <c r="Z139" i="1"/>
  <c r="X142" i="1"/>
  <c r="X141" i="1"/>
  <c r="X140" i="1"/>
  <c r="X139" i="1"/>
  <c r="V142" i="1"/>
  <c r="V141" i="1"/>
  <c r="V140" i="1"/>
  <c r="V139" i="1"/>
  <c r="T139" i="1"/>
  <c r="R139" i="1"/>
  <c r="T142" i="1"/>
  <c r="T141" i="1"/>
  <c r="T140" i="1"/>
  <c r="AD138" i="1"/>
  <c r="N42" i="20" s="1"/>
  <c r="AD132" i="1"/>
  <c r="N36" i="20" s="1"/>
  <c r="AB136" i="1"/>
  <c r="AB135" i="1"/>
  <c r="AB134" i="1"/>
  <c r="AB133" i="1"/>
  <c r="Z136" i="1"/>
  <c r="Z135" i="1"/>
  <c r="Z134" i="1"/>
  <c r="Z133" i="1"/>
  <c r="X136" i="1"/>
  <c r="X135" i="1"/>
  <c r="X134" i="1"/>
  <c r="X133" i="1"/>
  <c r="V136" i="1"/>
  <c r="V135" i="1"/>
  <c r="V134" i="1"/>
  <c r="V133" i="1"/>
  <c r="T136" i="1"/>
  <c r="T135" i="1"/>
  <c r="T134" i="1"/>
  <c r="T133" i="1"/>
  <c r="R133" i="1"/>
  <c r="AB127" i="1"/>
  <c r="Z127" i="1"/>
  <c r="X127" i="1"/>
  <c r="V127" i="1"/>
  <c r="T127" i="1"/>
  <c r="R127" i="1"/>
  <c r="AD126" i="1"/>
  <c r="N29" i="20" s="1"/>
  <c r="AD120" i="1"/>
  <c r="N22" i="20" s="1"/>
  <c r="AB124" i="1"/>
  <c r="AB123" i="1"/>
  <c r="AB122" i="1"/>
  <c r="AB121" i="1"/>
  <c r="Z124" i="1"/>
  <c r="Z123" i="1"/>
  <c r="Z122" i="1"/>
  <c r="Z121" i="1"/>
  <c r="X124" i="1"/>
  <c r="X123" i="1"/>
  <c r="X122" i="1"/>
  <c r="X121" i="1"/>
  <c r="V124" i="1"/>
  <c r="V123" i="1"/>
  <c r="V122" i="1"/>
  <c r="V121" i="1"/>
  <c r="T124" i="1"/>
  <c r="T123" i="1"/>
  <c r="T122" i="1"/>
  <c r="T121" i="1"/>
  <c r="R121" i="1"/>
  <c r="AD114" i="1"/>
  <c r="N16" i="20" s="1"/>
  <c r="AB118" i="1"/>
  <c r="AB117" i="1"/>
  <c r="AB116" i="1"/>
  <c r="AB115" i="1"/>
  <c r="Z118" i="1"/>
  <c r="Z117" i="1"/>
  <c r="Z116" i="1"/>
  <c r="Z115" i="1"/>
  <c r="X118" i="1"/>
  <c r="X117" i="1"/>
  <c r="X116" i="1"/>
  <c r="X115" i="1"/>
  <c r="V118" i="1"/>
  <c r="V117" i="1"/>
  <c r="V116" i="1"/>
  <c r="V115" i="1"/>
  <c r="T118" i="1"/>
  <c r="T117" i="1"/>
  <c r="T116" i="1"/>
  <c r="T115" i="1"/>
  <c r="R115" i="1"/>
  <c r="AB112" i="1"/>
  <c r="AB111" i="1"/>
  <c r="AB110" i="1"/>
  <c r="AB109" i="1"/>
  <c r="Z112" i="1"/>
  <c r="Z111" i="1"/>
  <c r="Z110" i="1"/>
  <c r="Z109" i="1"/>
  <c r="X112" i="1"/>
  <c r="X111" i="1"/>
  <c r="X110" i="1"/>
  <c r="X109" i="1"/>
  <c r="V112" i="1"/>
  <c r="V111" i="1"/>
  <c r="V110" i="1"/>
  <c r="V109" i="1"/>
  <c r="T112" i="1"/>
  <c r="T111" i="1"/>
  <c r="T110" i="1"/>
  <c r="T109" i="1"/>
  <c r="R109" i="1"/>
  <c r="N10" i="20"/>
  <c r="N4" i="20"/>
  <c r="AB106" i="1"/>
  <c r="AB105" i="1"/>
  <c r="AB104" i="1"/>
  <c r="AB103" i="1"/>
  <c r="Z106" i="1"/>
  <c r="Z105" i="1"/>
  <c r="Z104" i="1"/>
  <c r="Z103" i="1"/>
  <c r="X106" i="1"/>
  <c r="X105" i="1"/>
  <c r="X104" i="1"/>
  <c r="X103" i="1"/>
  <c r="V106" i="1"/>
  <c r="V105" i="1"/>
  <c r="V104" i="1"/>
  <c r="V103" i="1"/>
  <c r="T106" i="1"/>
  <c r="T105" i="1"/>
  <c r="T104" i="1"/>
  <c r="T103" i="1"/>
  <c r="R103" i="1"/>
  <c r="L133" i="1"/>
  <c r="R148" i="1"/>
  <c r="R147" i="1"/>
  <c r="R146" i="1"/>
  <c r="P148" i="1"/>
  <c r="P147" i="1"/>
  <c r="P146" i="1"/>
  <c r="P145" i="1"/>
  <c r="N148" i="1"/>
  <c r="N147" i="1"/>
  <c r="N146" i="1"/>
  <c r="N145" i="1"/>
  <c r="L148" i="1"/>
  <c r="L147" i="1"/>
  <c r="L146" i="1"/>
  <c r="L145" i="1"/>
  <c r="J148" i="1"/>
  <c r="J147" i="1"/>
  <c r="J146" i="1"/>
  <c r="J145" i="1"/>
  <c r="R142" i="1"/>
  <c r="R141" i="1"/>
  <c r="R140" i="1"/>
  <c r="P142" i="1"/>
  <c r="P141" i="1"/>
  <c r="P140" i="1"/>
  <c r="P139" i="1"/>
  <c r="N142" i="1"/>
  <c r="N141" i="1"/>
  <c r="N140" i="1"/>
  <c r="N139" i="1"/>
  <c r="L142" i="1"/>
  <c r="L141" i="1"/>
  <c r="L140" i="1"/>
  <c r="L139" i="1"/>
  <c r="J142" i="1"/>
  <c r="J141" i="1"/>
  <c r="J140" i="1"/>
  <c r="J139" i="1"/>
  <c r="R136" i="1"/>
  <c r="R135" i="1"/>
  <c r="R134" i="1"/>
  <c r="P136" i="1"/>
  <c r="P135" i="1"/>
  <c r="P134" i="1"/>
  <c r="P133" i="1"/>
  <c r="N136" i="1"/>
  <c r="N135" i="1"/>
  <c r="N134" i="1"/>
  <c r="N133" i="1"/>
  <c r="L136" i="1"/>
  <c r="L135" i="1"/>
  <c r="L134" i="1"/>
  <c r="J136" i="1"/>
  <c r="J135" i="1"/>
  <c r="J134" i="1"/>
  <c r="J133" i="1"/>
  <c r="J149" i="1" s="1"/>
  <c r="AB149" i="1" l="1"/>
  <c r="Z129" i="1"/>
  <c r="P149" i="1"/>
  <c r="Z149" i="1"/>
  <c r="L149" i="1"/>
  <c r="N149" i="1"/>
  <c r="X149" i="1"/>
  <c r="X129" i="1"/>
  <c r="R149" i="1"/>
  <c r="T129" i="1"/>
  <c r="V149" i="1"/>
  <c r="AB129" i="1"/>
  <c r="AB151" i="1" s="1"/>
  <c r="V129" i="1"/>
  <c r="T149" i="1"/>
  <c r="Z31" i="17"/>
  <c r="AD139" i="1"/>
  <c r="AD140" i="1"/>
  <c r="AD147" i="1"/>
  <c r="AD148" i="1"/>
  <c r="AD145" i="1"/>
  <c r="AD146" i="1"/>
  <c r="AD133" i="1"/>
  <c r="P127" i="1" l="1"/>
  <c r="N127" i="1"/>
  <c r="L127" i="1"/>
  <c r="J127" i="1"/>
  <c r="R124" i="1"/>
  <c r="R123" i="1"/>
  <c r="R122" i="1"/>
  <c r="P124" i="1"/>
  <c r="P123" i="1"/>
  <c r="P122" i="1"/>
  <c r="P121" i="1"/>
  <c r="N124" i="1"/>
  <c r="N123" i="1"/>
  <c r="N122" i="1"/>
  <c r="N121" i="1"/>
  <c r="L124" i="1"/>
  <c r="L123" i="1"/>
  <c r="L122" i="1"/>
  <c r="L121" i="1"/>
  <c r="J124" i="1"/>
  <c r="J123" i="1"/>
  <c r="J122" i="1"/>
  <c r="R118" i="1"/>
  <c r="R117" i="1"/>
  <c r="R116" i="1"/>
  <c r="P118" i="1"/>
  <c r="P117" i="1"/>
  <c r="P116" i="1"/>
  <c r="P115" i="1"/>
  <c r="N118" i="1"/>
  <c r="N117" i="1"/>
  <c r="N116" i="1"/>
  <c r="N115" i="1"/>
  <c r="L118" i="1"/>
  <c r="L117" i="1"/>
  <c r="L116" i="1"/>
  <c r="L115" i="1"/>
  <c r="J118" i="1"/>
  <c r="J117" i="1"/>
  <c r="J116" i="1"/>
  <c r="J115" i="1"/>
  <c r="R112" i="1"/>
  <c r="R111" i="1"/>
  <c r="R110" i="1"/>
  <c r="P112" i="1"/>
  <c r="P111" i="1"/>
  <c r="P110" i="1"/>
  <c r="P109" i="1"/>
  <c r="N112" i="1"/>
  <c r="N111" i="1"/>
  <c r="N110" i="1"/>
  <c r="N109" i="1"/>
  <c r="L112" i="1"/>
  <c r="L111" i="1"/>
  <c r="L110" i="1"/>
  <c r="L109" i="1"/>
  <c r="J112" i="1"/>
  <c r="J111" i="1"/>
  <c r="J110" i="1"/>
  <c r="J109" i="1"/>
  <c r="J106" i="1"/>
  <c r="R106" i="1"/>
  <c r="R105" i="1"/>
  <c r="R104" i="1"/>
  <c r="P106" i="1"/>
  <c r="P105" i="1"/>
  <c r="P104" i="1"/>
  <c r="P103" i="1"/>
  <c r="N106" i="1"/>
  <c r="N105" i="1"/>
  <c r="N104" i="1"/>
  <c r="N103" i="1"/>
  <c r="L106" i="1"/>
  <c r="L105" i="1"/>
  <c r="L104" i="1"/>
  <c r="J105" i="1"/>
  <c r="J104" i="1"/>
  <c r="P129" i="1" l="1"/>
  <c r="J129" i="1"/>
  <c r="N129" i="1"/>
  <c r="R129" i="1"/>
  <c r="L129" i="1"/>
  <c r="AD121" i="1"/>
  <c r="AD127" i="1"/>
  <c r="AD122" i="1"/>
  <c r="AD109" i="1"/>
  <c r="AD123" i="1"/>
  <c r="AD124" i="1"/>
  <c r="AD111" i="1"/>
  <c r="AD112" i="1"/>
  <c r="AD115" i="1"/>
  <c r="AD110" i="1"/>
  <c r="AD106" i="1"/>
  <c r="AD105" i="1"/>
  <c r="AD104" i="1"/>
  <c r="D5" i="20"/>
  <c r="AD103" i="1"/>
  <c r="BD8" i="1"/>
  <c r="AD129" i="1" l="1"/>
  <c r="J151" i="1"/>
  <c r="H3" i="14"/>
  <c r="H2" i="14"/>
  <c r="B3" i="14"/>
  <c r="B2" i="14"/>
  <c r="H3" i="16"/>
  <c r="H2" i="16"/>
  <c r="B3" i="16"/>
  <c r="B2" i="16"/>
  <c r="O5" i="23"/>
  <c r="O3" i="23"/>
  <c r="G5" i="23"/>
  <c r="G4" i="23"/>
  <c r="G3" i="23"/>
  <c r="Q37" i="23"/>
  <c r="Q38" i="23"/>
  <c r="Q39" i="23"/>
  <c r="Q40" i="23"/>
  <c r="Q41" i="23"/>
  <c r="Q42" i="23"/>
  <c r="Q43" i="23"/>
  <c r="Q44" i="23"/>
  <c r="Q48" i="23"/>
  <c r="Q49" i="23"/>
  <c r="Q50" i="23"/>
  <c r="Q51" i="23"/>
  <c r="Q52" i="23"/>
  <c r="Q53" i="23"/>
  <c r="Q54" i="23"/>
  <c r="Q55" i="23"/>
  <c r="Q74" i="23" s="1"/>
  <c r="Q56" i="23"/>
  <c r="Q57" i="23"/>
  <c r="Q58" i="23"/>
  <c r="Q59" i="23"/>
  <c r="Q60" i="23"/>
  <c r="Q61" i="23"/>
  <c r="Q62" i="23"/>
  <c r="Q63" i="23"/>
  <c r="Q64" i="23"/>
  <c r="Q65" i="23"/>
  <c r="Q66" i="23"/>
  <c r="Q67" i="23"/>
  <c r="Q68" i="23"/>
  <c r="A69" i="23"/>
  <c r="Q69" i="23"/>
  <c r="A70" i="23"/>
  <c r="Q70" i="23"/>
  <c r="A71" i="23"/>
  <c r="Q71" i="23"/>
  <c r="A72" i="23"/>
  <c r="Q72" i="23"/>
  <c r="A73" i="23"/>
  <c r="Q73" i="23"/>
  <c r="L74" i="23"/>
  <c r="M74" i="23"/>
  <c r="N74" i="23"/>
  <c r="O74" i="23"/>
  <c r="P74" i="23"/>
  <c r="P80" i="23"/>
  <c r="P83" i="23"/>
  <c r="P84" i="23"/>
  <c r="P87" i="23"/>
  <c r="P88" i="23"/>
  <c r="C29" i="1"/>
  <c r="C73" i="1" s="1"/>
  <c r="C27" i="1"/>
  <c r="C72" i="1" s="1"/>
  <c r="C25" i="1"/>
  <c r="C71" i="1" s="1"/>
  <c r="C23" i="1"/>
  <c r="C70" i="1" s="1"/>
  <c r="C21" i="1"/>
  <c r="C17" i="17" s="1"/>
  <c r="C52" i="20"/>
  <c r="C46" i="20"/>
  <c r="C40" i="20"/>
  <c r="C26" i="20"/>
  <c r="C20" i="20"/>
  <c r="C14" i="20"/>
  <c r="C8" i="20"/>
  <c r="C7" i="20"/>
  <c r="G8" i="20"/>
  <c r="F8" i="20"/>
  <c r="E8" i="20"/>
  <c r="D8" i="20"/>
  <c r="G30" i="20"/>
  <c r="H30" i="20"/>
  <c r="I30" i="20"/>
  <c r="J30" i="20"/>
  <c r="K30" i="20"/>
  <c r="L30" i="20"/>
  <c r="M30" i="20"/>
  <c r="AF199" i="1"/>
  <c r="J52" i="20"/>
  <c r="K52" i="20"/>
  <c r="L52" i="20"/>
  <c r="M52" i="20"/>
  <c r="M51" i="20"/>
  <c r="I50" i="20"/>
  <c r="J50" i="20"/>
  <c r="K50" i="20"/>
  <c r="F49" i="20"/>
  <c r="G49" i="20"/>
  <c r="H49" i="20"/>
  <c r="I49" i="20"/>
  <c r="J46" i="20"/>
  <c r="K46" i="20"/>
  <c r="L46" i="20"/>
  <c r="M46" i="20"/>
  <c r="I45" i="20"/>
  <c r="J45" i="20"/>
  <c r="K45" i="20"/>
  <c r="L45" i="20"/>
  <c r="M45" i="20"/>
  <c r="I44" i="20"/>
  <c r="J44" i="20"/>
  <c r="K44" i="20"/>
  <c r="E43" i="20"/>
  <c r="I43" i="20"/>
  <c r="L43" i="20"/>
  <c r="M43" i="20"/>
  <c r="I40" i="20"/>
  <c r="J40" i="20"/>
  <c r="K40" i="20"/>
  <c r="L40" i="20"/>
  <c r="M40" i="20"/>
  <c r="I39" i="20"/>
  <c r="J39" i="20"/>
  <c r="L39" i="20"/>
  <c r="M39" i="20"/>
  <c r="H38" i="20"/>
  <c r="I38" i="20"/>
  <c r="J38" i="20"/>
  <c r="K38" i="20"/>
  <c r="L38" i="20"/>
  <c r="M38" i="20"/>
  <c r="D37" i="20"/>
  <c r="E37" i="20"/>
  <c r="F37" i="20"/>
  <c r="H37" i="20"/>
  <c r="L37" i="20"/>
  <c r="M37" i="20"/>
  <c r="G26" i="20"/>
  <c r="I26" i="20"/>
  <c r="J26" i="20"/>
  <c r="K26" i="20"/>
  <c r="M26" i="20"/>
  <c r="D25" i="20"/>
  <c r="E25" i="20"/>
  <c r="H25" i="20"/>
  <c r="K25" i="20"/>
  <c r="L25" i="20"/>
  <c r="M25" i="20"/>
  <c r="E24" i="20"/>
  <c r="H24" i="20"/>
  <c r="I24" i="20"/>
  <c r="K24" i="20"/>
  <c r="M24" i="20"/>
  <c r="G23" i="20"/>
  <c r="H23" i="20"/>
  <c r="I23" i="20"/>
  <c r="J23" i="20"/>
  <c r="M23" i="20"/>
  <c r="I20" i="20"/>
  <c r="K20" i="20"/>
  <c r="M20" i="20"/>
  <c r="D19" i="20"/>
  <c r="E19" i="20"/>
  <c r="F19" i="20"/>
  <c r="I19" i="20"/>
  <c r="K19" i="20"/>
  <c r="M19" i="20"/>
  <c r="D18" i="20"/>
  <c r="G18" i="20"/>
  <c r="H18" i="20"/>
  <c r="J18" i="20"/>
  <c r="K18" i="20"/>
  <c r="L18" i="20"/>
  <c r="F17" i="20"/>
  <c r="G17" i="20"/>
  <c r="H17" i="20"/>
  <c r="I17" i="20"/>
  <c r="J17" i="20"/>
  <c r="F14" i="20"/>
  <c r="G14" i="20"/>
  <c r="H14" i="20"/>
  <c r="I14" i="20"/>
  <c r="M14" i="20"/>
  <c r="D13" i="20"/>
  <c r="E13" i="20"/>
  <c r="F13" i="20"/>
  <c r="I13" i="20"/>
  <c r="K13" i="20"/>
  <c r="M13" i="20"/>
  <c r="D12" i="20"/>
  <c r="I12" i="20"/>
  <c r="K12" i="20"/>
  <c r="L12" i="20"/>
  <c r="J11" i="20"/>
  <c r="M11" i="20"/>
  <c r="L8" i="20"/>
  <c r="K8" i="20"/>
  <c r="J8" i="20"/>
  <c r="A80" i="1"/>
  <c r="H80" i="1" s="1"/>
  <c r="A77" i="1"/>
  <c r="H77" i="1" s="1"/>
  <c r="A78" i="1"/>
  <c r="H78" i="1" s="1"/>
  <c r="A79" i="1"/>
  <c r="H79" i="1" s="1"/>
  <c r="D6" i="20"/>
  <c r="D7" i="20"/>
  <c r="BH34" i="1"/>
  <c r="J34" i="1" s="1"/>
  <c r="BH36" i="1"/>
  <c r="AF36" i="1" s="1"/>
  <c r="BH38" i="1"/>
  <c r="AF38" i="1" s="1"/>
  <c r="AD18" i="17"/>
  <c r="BH24" i="1"/>
  <c r="AD20" i="17" s="1"/>
  <c r="BH26" i="1"/>
  <c r="AF26" i="1" s="1"/>
  <c r="L30" i="23" s="1"/>
  <c r="BH28" i="1"/>
  <c r="AF28" i="1" s="1"/>
  <c r="L32" i="23" s="1"/>
  <c r="BH30" i="1"/>
  <c r="AF30" i="1" s="1"/>
  <c r="L34" i="23" s="1"/>
  <c r="BH32" i="1"/>
  <c r="AF32" i="1" s="1"/>
  <c r="BH40" i="1"/>
  <c r="AF40" i="1" s="1"/>
  <c r="J42" i="1"/>
  <c r="BH44" i="1"/>
  <c r="BH46" i="1"/>
  <c r="AF46" i="1" s="1"/>
  <c r="A75" i="1"/>
  <c r="H75" i="1" s="1"/>
  <c r="A76" i="1"/>
  <c r="H76" i="1" s="1"/>
  <c r="A69" i="1"/>
  <c r="A70" i="1"/>
  <c r="H70" i="1" s="1"/>
  <c r="A71" i="1"/>
  <c r="H71" i="1" s="1"/>
  <c r="A72" i="1"/>
  <c r="H72" i="1" s="1"/>
  <c r="A73" i="1"/>
  <c r="H73" i="1" s="1"/>
  <c r="A74" i="1"/>
  <c r="H74" i="1" s="1"/>
  <c r="A81" i="1"/>
  <c r="H81" i="1" s="1"/>
  <c r="A82" i="1"/>
  <c r="H82" i="1" s="1"/>
  <c r="A83" i="1"/>
  <c r="H83" i="1" s="1"/>
  <c r="A84" i="1"/>
  <c r="H84" i="1" s="1"/>
  <c r="A85" i="1"/>
  <c r="H85" i="1" s="1"/>
  <c r="A86" i="1"/>
  <c r="H86" i="1" s="1"/>
  <c r="BK34" i="1"/>
  <c r="BJ34" i="1"/>
  <c r="BN34" i="1" s="1"/>
  <c r="BK36" i="1"/>
  <c r="BO36" i="1" s="1"/>
  <c r="BS36" i="1" s="1"/>
  <c r="BW36" i="1" s="1"/>
  <c r="CA36" i="1" s="1"/>
  <c r="CE36" i="1" s="1"/>
  <c r="CI36" i="1" s="1"/>
  <c r="CM36" i="1" s="1"/>
  <c r="CQ36" i="1" s="1"/>
  <c r="BJ36" i="1"/>
  <c r="BK38" i="1"/>
  <c r="BO38" i="1" s="1"/>
  <c r="BS38" i="1" s="1"/>
  <c r="BW38" i="1" s="1"/>
  <c r="CA38" i="1" s="1"/>
  <c r="CE38" i="1" s="1"/>
  <c r="CI38" i="1" s="1"/>
  <c r="BJ38" i="1"/>
  <c r="BJ22" i="1"/>
  <c r="BK22" i="1"/>
  <c r="BO22" i="1" s="1"/>
  <c r="BS22" i="1" s="1"/>
  <c r="BW22" i="1" s="1"/>
  <c r="CA22" i="1" s="1"/>
  <c r="CE22" i="1" s="1"/>
  <c r="CI22" i="1" s="1"/>
  <c r="CM22" i="1" s="1"/>
  <c r="CQ22" i="1" s="1"/>
  <c r="BJ24" i="1"/>
  <c r="BN24" i="1" s="1"/>
  <c r="BK24" i="1"/>
  <c r="BO24" i="1" s="1"/>
  <c r="BS24" i="1" s="1"/>
  <c r="BW24" i="1" s="1"/>
  <c r="CA24" i="1" s="1"/>
  <c r="CE24" i="1" s="1"/>
  <c r="CI24" i="1" s="1"/>
  <c r="CM24" i="1" s="1"/>
  <c r="CQ24" i="1" s="1"/>
  <c r="BJ26" i="1"/>
  <c r="BN26" i="1" s="1"/>
  <c r="BK26" i="1"/>
  <c r="BO26" i="1" s="1"/>
  <c r="BS26" i="1" s="1"/>
  <c r="BW26" i="1" s="1"/>
  <c r="CA26" i="1" s="1"/>
  <c r="CE26" i="1" s="1"/>
  <c r="CI26" i="1" s="1"/>
  <c r="CM26" i="1" s="1"/>
  <c r="CQ26" i="1" s="1"/>
  <c r="BJ28" i="1"/>
  <c r="BN28" i="1" s="1"/>
  <c r="BR28" i="1" s="1"/>
  <c r="BK28" i="1"/>
  <c r="BO28" i="1" s="1"/>
  <c r="BS28" i="1" s="1"/>
  <c r="BW28" i="1" s="1"/>
  <c r="CA28" i="1" s="1"/>
  <c r="CE28" i="1" s="1"/>
  <c r="CI28" i="1" s="1"/>
  <c r="CM28" i="1" s="1"/>
  <c r="BJ30" i="1"/>
  <c r="BN30" i="1" s="1"/>
  <c r="BK30" i="1"/>
  <c r="BO30" i="1" s="1"/>
  <c r="BS30" i="1" s="1"/>
  <c r="BW30" i="1" s="1"/>
  <c r="CA30" i="1" s="1"/>
  <c r="CE30" i="1" s="1"/>
  <c r="CI30" i="1" s="1"/>
  <c r="CM30" i="1" s="1"/>
  <c r="CQ30" i="1" s="1"/>
  <c r="BJ32" i="1"/>
  <c r="BK32" i="1"/>
  <c r="BO32" i="1" s="1"/>
  <c r="BS32" i="1" s="1"/>
  <c r="BW32" i="1" s="1"/>
  <c r="CA32" i="1" s="1"/>
  <c r="CE32" i="1" s="1"/>
  <c r="CI32" i="1" s="1"/>
  <c r="CM32" i="1" s="1"/>
  <c r="CQ32" i="1" s="1"/>
  <c r="BJ40" i="1"/>
  <c r="BN40" i="1" s="1"/>
  <c r="BK40" i="1"/>
  <c r="BO40" i="1" s="1"/>
  <c r="BS40" i="1" s="1"/>
  <c r="BW40" i="1" s="1"/>
  <c r="CA40" i="1" s="1"/>
  <c r="CE40" i="1" s="1"/>
  <c r="CI40" i="1" s="1"/>
  <c r="CM40" i="1" s="1"/>
  <c r="CQ40" i="1" s="1"/>
  <c r="BJ42" i="1"/>
  <c r="BN42" i="1" s="1"/>
  <c r="BK42" i="1"/>
  <c r="BO42" i="1" s="1"/>
  <c r="BS42" i="1" s="1"/>
  <c r="BW42" i="1" s="1"/>
  <c r="CA42" i="1" s="1"/>
  <c r="CE42" i="1" s="1"/>
  <c r="CI42" i="1" s="1"/>
  <c r="CM42" i="1" s="1"/>
  <c r="CQ42" i="1" s="1"/>
  <c r="BJ44" i="1"/>
  <c r="BK44" i="1"/>
  <c r="BO44" i="1" s="1"/>
  <c r="BS44" i="1" s="1"/>
  <c r="BW44" i="1" s="1"/>
  <c r="CA44" i="1" s="1"/>
  <c r="CE44" i="1" s="1"/>
  <c r="CI44" i="1" s="1"/>
  <c r="BJ46" i="1"/>
  <c r="BK46" i="1"/>
  <c r="BO46" i="1" s="1"/>
  <c r="BS46" i="1" s="1"/>
  <c r="BW46" i="1" s="1"/>
  <c r="CA46" i="1" s="1"/>
  <c r="CE46" i="1" s="1"/>
  <c r="CI46" i="1" s="1"/>
  <c r="CM46" i="1" s="1"/>
  <c r="CQ46" i="1" s="1"/>
  <c r="BJ60" i="1"/>
  <c r="BK60" i="1"/>
  <c r="BO60" i="1" s="1"/>
  <c r="BS60" i="1" s="1"/>
  <c r="BW60" i="1" s="1"/>
  <c r="CA60" i="1" s="1"/>
  <c r="CE60" i="1" s="1"/>
  <c r="CI60" i="1" s="1"/>
  <c r="CM60" i="1" s="1"/>
  <c r="CQ60" i="1" s="1"/>
  <c r="BJ62" i="1"/>
  <c r="BK62" i="1"/>
  <c r="BO62" i="1" s="1"/>
  <c r="BS62" i="1" s="1"/>
  <c r="BW62" i="1" s="1"/>
  <c r="CA62" i="1" s="1"/>
  <c r="CE62" i="1" s="1"/>
  <c r="CI62" i="1" s="1"/>
  <c r="CM62" i="1" s="1"/>
  <c r="CQ62" i="1" s="1"/>
  <c r="BJ64" i="1"/>
  <c r="BN64" i="1" s="1"/>
  <c r="BK64" i="1"/>
  <c r="BO64" i="1" s="1"/>
  <c r="BS64" i="1" s="1"/>
  <c r="BW64" i="1" s="1"/>
  <c r="CA64" i="1" s="1"/>
  <c r="CE64" i="1" s="1"/>
  <c r="C45" i="17"/>
  <c r="C42" i="17"/>
  <c r="C44" i="17"/>
  <c r="P165" i="1"/>
  <c r="P98" i="1"/>
  <c r="G5" i="20"/>
  <c r="N165" i="1"/>
  <c r="N98" i="1"/>
  <c r="F6" i="20"/>
  <c r="F7" i="20"/>
  <c r="L165" i="1"/>
  <c r="L98" i="1"/>
  <c r="E6" i="20"/>
  <c r="E7" i="20"/>
  <c r="J155" i="1"/>
  <c r="AD155" i="1" s="1"/>
  <c r="J156" i="1"/>
  <c r="AD156" i="1" s="1"/>
  <c r="J157" i="1"/>
  <c r="AD157" i="1" s="1"/>
  <c r="J158" i="1"/>
  <c r="AD158" i="1" s="1"/>
  <c r="J160" i="1"/>
  <c r="AD160" i="1" s="1"/>
  <c r="J161" i="1"/>
  <c r="AD161" i="1" s="1"/>
  <c r="J162" i="1"/>
  <c r="AD162" i="1" s="1"/>
  <c r="J163" i="1"/>
  <c r="AD163" i="1" s="1"/>
  <c r="J98" i="1"/>
  <c r="R165" i="1"/>
  <c r="R98" i="1"/>
  <c r="H6" i="20"/>
  <c r="H7" i="20"/>
  <c r="T165" i="1"/>
  <c r="T98" i="1"/>
  <c r="V165" i="1"/>
  <c r="V98" i="1"/>
  <c r="J5" i="20"/>
  <c r="J6" i="20"/>
  <c r="X165" i="1"/>
  <c r="X98" i="1"/>
  <c r="K5" i="20"/>
  <c r="K6" i="20"/>
  <c r="Z165" i="1"/>
  <c r="Z98" i="1"/>
  <c r="L6" i="20"/>
  <c r="L7" i="20"/>
  <c r="AB165" i="1"/>
  <c r="AB98" i="1"/>
  <c r="M6" i="20"/>
  <c r="AZ196" i="1"/>
  <c r="I196" i="1"/>
  <c r="D86" i="17"/>
  <c r="B86" i="17"/>
  <c r="AF98" i="1"/>
  <c r="AF149" i="1"/>
  <c r="AF129" i="1"/>
  <c r="AF155" i="1"/>
  <c r="AZ155" i="1" s="1"/>
  <c r="AF156" i="1"/>
  <c r="AZ156" i="1" s="1"/>
  <c r="AF157" i="1"/>
  <c r="AZ157" i="1" s="1"/>
  <c r="AF158" i="1"/>
  <c r="AZ158" i="1" s="1"/>
  <c r="AF160" i="1"/>
  <c r="AZ160" i="1" s="1"/>
  <c r="AF161" i="1"/>
  <c r="AZ161" i="1" s="1"/>
  <c r="AF162" i="1"/>
  <c r="AZ162" i="1" s="1"/>
  <c r="AF163" i="1"/>
  <c r="AZ163" i="1" s="1"/>
  <c r="AH199" i="1"/>
  <c r="AH98" i="1"/>
  <c r="AH149" i="1"/>
  <c r="AH129" i="1"/>
  <c r="AH165" i="1"/>
  <c r="AJ199" i="1"/>
  <c r="AJ98" i="1"/>
  <c r="AJ149" i="1"/>
  <c r="AJ129" i="1"/>
  <c r="AJ165" i="1"/>
  <c r="AL199" i="1"/>
  <c r="AL98" i="1"/>
  <c r="AL149" i="1"/>
  <c r="AL129" i="1"/>
  <c r="AL165" i="1"/>
  <c r="AN199" i="1"/>
  <c r="AN98" i="1"/>
  <c r="AN149" i="1"/>
  <c r="AN129" i="1"/>
  <c r="AN165" i="1"/>
  <c r="AP199" i="1"/>
  <c r="AP98" i="1"/>
  <c r="AP149" i="1"/>
  <c r="AP129" i="1"/>
  <c r="AP165" i="1"/>
  <c r="AR199" i="1"/>
  <c r="AR98" i="1"/>
  <c r="AR149" i="1"/>
  <c r="AR129" i="1"/>
  <c r="AR165" i="1"/>
  <c r="AT199" i="1"/>
  <c r="AT98" i="1"/>
  <c r="AT149" i="1"/>
  <c r="AT129" i="1"/>
  <c r="AT165" i="1"/>
  <c r="AV199" i="1"/>
  <c r="AV98" i="1"/>
  <c r="AV149" i="1"/>
  <c r="AV129" i="1"/>
  <c r="AV165" i="1"/>
  <c r="AX199" i="1"/>
  <c r="AX98" i="1"/>
  <c r="AX149" i="1"/>
  <c r="AX129" i="1"/>
  <c r="AX165" i="1"/>
  <c r="K11" i="16"/>
  <c r="K12" i="16"/>
  <c r="K13" i="16"/>
  <c r="K14" i="16"/>
  <c r="K15" i="16"/>
  <c r="K16" i="16"/>
  <c r="K17" i="16"/>
  <c r="K18" i="16"/>
  <c r="K19" i="16"/>
  <c r="K20" i="16"/>
  <c r="K23" i="16"/>
  <c r="K24" i="16"/>
  <c r="K25" i="16"/>
  <c r="K26" i="16"/>
  <c r="K27" i="16"/>
  <c r="K28" i="16"/>
  <c r="K29" i="16"/>
  <c r="K30" i="16"/>
  <c r="K31" i="16"/>
  <c r="K32" i="16"/>
  <c r="K10" i="14"/>
  <c r="K11" i="14"/>
  <c r="K12" i="14"/>
  <c r="K13" i="14"/>
  <c r="K14" i="14"/>
  <c r="K15" i="14"/>
  <c r="K16" i="14"/>
  <c r="K17" i="14"/>
  <c r="K18" i="14"/>
  <c r="K19" i="14"/>
  <c r="K22" i="14"/>
  <c r="K23" i="14"/>
  <c r="K24" i="14"/>
  <c r="K25" i="14"/>
  <c r="K26" i="14"/>
  <c r="K27" i="14"/>
  <c r="K28" i="14"/>
  <c r="K29" i="14"/>
  <c r="K30" i="14"/>
  <c r="K31" i="14"/>
  <c r="G8" i="21"/>
  <c r="K4" i="21"/>
  <c r="B8" i="21"/>
  <c r="B6" i="21"/>
  <c r="B4" i="21"/>
  <c r="C77" i="17"/>
  <c r="C76" i="17"/>
  <c r="T76" i="17" s="1"/>
  <c r="C75" i="17"/>
  <c r="X75" i="17" s="1"/>
  <c r="C74" i="17"/>
  <c r="V74" i="17" s="1"/>
  <c r="C73" i="17"/>
  <c r="N73" i="17" s="1"/>
  <c r="C35" i="17"/>
  <c r="V35" i="17" s="1"/>
  <c r="C33" i="17"/>
  <c r="X33" i="17" s="1"/>
  <c r="C32" i="17"/>
  <c r="L32" i="17" s="1"/>
  <c r="M34" i="20"/>
  <c r="L34" i="20"/>
  <c r="K34" i="20"/>
  <c r="J34" i="20"/>
  <c r="I34" i="20"/>
  <c r="H34" i="20"/>
  <c r="G34" i="20"/>
  <c r="F34" i="20"/>
  <c r="E34" i="20"/>
  <c r="D34" i="20"/>
  <c r="M2" i="20"/>
  <c r="L2" i="20"/>
  <c r="K2" i="20"/>
  <c r="J2" i="20"/>
  <c r="I2" i="20"/>
  <c r="H2" i="20"/>
  <c r="G2" i="20"/>
  <c r="F2" i="20"/>
  <c r="E2" i="20"/>
  <c r="D2" i="20"/>
  <c r="P73" i="17"/>
  <c r="C37" i="17"/>
  <c r="N37" i="17" s="1"/>
  <c r="C52" i="17"/>
  <c r="C51" i="17"/>
  <c r="C50" i="17"/>
  <c r="C49" i="17"/>
  <c r="C48" i="17"/>
  <c r="C47" i="17"/>
  <c r="C34" i="17"/>
  <c r="C30" i="17"/>
  <c r="J30" i="17" s="1"/>
  <c r="C29" i="17"/>
  <c r="C28" i="17"/>
  <c r="F28" i="17" s="1"/>
  <c r="C79" i="17"/>
  <c r="C78" i="17"/>
  <c r="C63" i="17"/>
  <c r="C62" i="17"/>
  <c r="J62" i="17" s="1"/>
  <c r="M6" i="17"/>
  <c r="M11" i="17"/>
  <c r="M9" i="17"/>
  <c r="M5" i="17"/>
  <c r="C9" i="17"/>
  <c r="E7" i="17"/>
  <c r="E5" i="17"/>
  <c r="E6" i="17"/>
  <c r="E49" i="20"/>
  <c r="E50" i="20"/>
  <c r="E5" i="20"/>
  <c r="E17" i="20"/>
  <c r="E18" i="20"/>
  <c r="E23" i="20"/>
  <c r="F43" i="20"/>
  <c r="F5" i="20"/>
  <c r="F20" i="20"/>
  <c r="F23" i="20"/>
  <c r="F30" i="20"/>
  <c r="G11" i="20"/>
  <c r="G19" i="20"/>
  <c r="G20" i="20"/>
  <c r="H43" i="20"/>
  <c r="H11" i="20"/>
  <c r="H19" i="20"/>
  <c r="I46" i="20"/>
  <c r="I51" i="20"/>
  <c r="I52" i="20"/>
  <c r="I18" i="20"/>
  <c r="J43" i="20"/>
  <c r="J49" i="20"/>
  <c r="J51" i="20"/>
  <c r="J19" i="20"/>
  <c r="J20" i="20"/>
  <c r="K49" i="20"/>
  <c r="K51" i="20"/>
  <c r="K11" i="20"/>
  <c r="K17" i="20"/>
  <c r="K23" i="20"/>
  <c r="L44" i="20"/>
  <c r="L49" i="20"/>
  <c r="L50" i="20"/>
  <c r="L51" i="20"/>
  <c r="L11" i="20"/>
  <c r="L17" i="20"/>
  <c r="L19" i="20"/>
  <c r="L20" i="20"/>
  <c r="L23" i="20"/>
  <c r="M44" i="20"/>
  <c r="M49" i="20"/>
  <c r="M50" i="20"/>
  <c r="M17" i="20"/>
  <c r="M18" i="20"/>
  <c r="AZ103" i="1"/>
  <c r="E12" i="20"/>
  <c r="L24" i="20"/>
  <c r="D11" i="20"/>
  <c r="D23" i="20"/>
  <c r="AZ213" i="1"/>
  <c r="AZ197" i="1"/>
  <c r="AZ192" i="1"/>
  <c r="AZ191" i="1"/>
  <c r="AZ189" i="1"/>
  <c r="AZ188" i="1"/>
  <c r="AZ187" i="1"/>
  <c r="AZ185" i="1"/>
  <c r="AZ182" i="1"/>
  <c r="AZ180" i="1"/>
  <c r="AZ177" i="1"/>
  <c r="AZ176" i="1"/>
  <c r="AZ174" i="1"/>
  <c r="AZ173" i="1"/>
  <c r="AZ172" i="1"/>
  <c r="AZ171" i="1"/>
  <c r="AZ170" i="1"/>
  <c r="AZ169" i="1"/>
  <c r="AZ148" i="1"/>
  <c r="AZ147" i="1"/>
  <c r="AZ146" i="1"/>
  <c r="AZ145" i="1"/>
  <c r="AZ142" i="1"/>
  <c r="AZ141" i="1"/>
  <c r="AZ140" i="1"/>
  <c r="AZ139" i="1"/>
  <c r="AZ136" i="1"/>
  <c r="AZ135" i="1"/>
  <c r="AZ134" i="1"/>
  <c r="AZ133" i="1"/>
  <c r="AZ127" i="1"/>
  <c r="AZ124" i="1"/>
  <c r="AZ123" i="1"/>
  <c r="AZ122" i="1"/>
  <c r="AZ121" i="1"/>
  <c r="AZ118" i="1"/>
  <c r="AZ117" i="1"/>
  <c r="AZ116" i="1"/>
  <c r="AZ115" i="1"/>
  <c r="AZ112" i="1"/>
  <c r="AZ111" i="1"/>
  <c r="AZ110" i="1"/>
  <c r="AZ109" i="1"/>
  <c r="AZ106" i="1"/>
  <c r="AZ105" i="1"/>
  <c r="AZ104" i="1"/>
  <c r="AZ96" i="1"/>
  <c r="AZ95" i="1"/>
  <c r="AZ94" i="1"/>
  <c r="AZ93" i="1"/>
  <c r="AD95" i="1"/>
  <c r="AD93" i="1"/>
  <c r="AD94" i="1"/>
  <c r="AD96" i="1"/>
  <c r="AD189" i="1"/>
  <c r="AD188" i="1"/>
  <c r="AD187" i="1"/>
  <c r="AD185" i="1"/>
  <c r="AD182" i="1"/>
  <c r="AD180" i="1"/>
  <c r="AD177" i="1"/>
  <c r="AD176" i="1"/>
  <c r="AD174" i="1"/>
  <c r="AD173" i="1"/>
  <c r="AD172" i="1"/>
  <c r="AD171" i="1"/>
  <c r="AD170" i="1"/>
  <c r="AD169" i="1"/>
  <c r="AD213" i="1"/>
  <c r="B12" i="21"/>
  <c r="D43" i="20"/>
  <c r="D17" i="20"/>
  <c r="C6" i="20"/>
  <c r="A52" i="20"/>
  <c r="B52" i="20"/>
  <c r="A51" i="20"/>
  <c r="C51" i="20"/>
  <c r="B51" i="20"/>
  <c r="A50" i="20"/>
  <c r="C50" i="20"/>
  <c r="B50" i="20"/>
  <c r="A49" i="20"/>
  <c r="B49" i="20"/>
  <c r="A46" i="20"/>
  <c r="B46" i="20"/>
  <c r="A45" i="20"/>
  <c r="C45" i="20"/>
  <c r="B45" i="20"/>
  <c r="A44" i="20"/>
  <c r="C44" i="20"/>
  <c r="B44" i="20"/>
  <c r="A43" i="20"/>
  <c r="B43" i="20"/>
  <c r="A40" i="20"/>
  <c r="B40" i="20"/>
  <c r="A39" i="20"/>
  <c r="C39" i="20"/>
  <c r="B39" i="20"/>
  <c r="A38" i="20"/>
  <c r="C38" i="20"/>
  <c r="B38" i="20"/>
  <c r="A37" i="20"/>
  <c r="B37" i="20"/>
  <c r="A26" i="20"/>
  <c r="B26" i="20"/>
  <c r="A25" i="20"/>
  <c r="C25" i="20"/>
  <c r="B25" i="20"/>
  <c r="A24" i="20"/>
  <c r="C24" i="20"/>
  <c r="B24" i="20"/>
  <c r="A23" i="20"/>
  <c r="B23" i="20"/>
  <c r="A30" i="20"/>
  <c r="C30" i="20"/>
  <c r="B30" i="20"/>
  <c r="A20" i="20"/>
  <c r="B20" i="20"/>
  <c r="A19" i="20"/>
  <c r="C19" i="20"/>
  <c r="B19" i="20"/>
  <c r="A18" i="20"/>
  <c r="C18" i="20"/>
  <c r="B18" i="20"/>
  <c r="A17" i="20"/>
  <c r="B17" i="20"/>
  <c r="A14" i="20"/>
  <c r="B14" i="20"/>
  <c r="A13" i="20"/>
  <c r="C13" i="20"/>
  <c r="B13" i="20"/>
  <c r="A12" i="20"/>
  <c r="C12" i="20"/>
  <c r="B12" i="20"/>
  <c r="A11" i="20"/>
  <c r="B11" i="20"/>
  <c r="A8" i="20"/>
  <c r="B8" i="20"/>
  <c r="A7" i="20"/>
  <c r="B7" i="20"/>
  <c r="A6" i="20"/>
  <c r="B6" i="20"/>
  <c r="A5" i="20"/>
  <c r="B5" i="20"/>
  <c r="N34" i="20"/>
  <c r="N2" i="20"/>
  <c r="AZ26" i="17"/>
  <c r="AZ24" i="17"/>
  <c r="AZ22" i="17"/>
  <c r="AZ20" i="17"/>
  <c r="AZ18" i="17"/>
  <c r="D22" i="1"/>
  <c r="C18" i="17" s="1"/>
  <c r="D24" i="1"/>
  <c r="C20" i="17" s="1"/>
  <c r="D26" i="1"/>
  <c r="C22" i="17" s="1"/>
  <c r="D28" i="1"/>
  <c r="C24" i="17" s="1"/>
  <c r="D30" i="1"/>
  <c r="C26" i="17" s="1"/>
  <c r="D32" i="1"/>
  <c r="D34" i="1"/>
  <c r="D36" i="1"/>
  <c r="D38" i="1"/>
  <c r="D40" i="1"/>
  <c r="D42" i="1"/>
  <c r="D44" i="1"/>
  <c r="D46" i="1"/>
  <c r="C74" i="1"/>
  <c r="C75" i="1"/>
  <c r="C76" i="1"/>
  <c r="C77" i="1"/>
  <c r="C78" i="1"/>
  <c r="C79" i="1"/>
  <c r="C80" i="1"/>
  <c r="C81" i="1"/>
  <c r="C82" i="1"/>
  <c r="C83" i="1"/>
  <c r="C84" i="1"/>
  <c r="C85" i="1"/>
  <c r="I197" i="1"/>
  <c r="C57" i="17"/>
  <c r="C87" i="17"/>
  <c r="G43" i="20"/>
  <c r="D49" i="20"/>
  <c r="E20" i="20"/>
  <c r="D20" i="20"/>
  <c r="L5" i="20"/>
  <c r="K37" i="20"/>
  <c r="J37" i="20"/>
  <c r="I37" i="20"/>
  <c r="G37" i="20"/>
  <c r="K43" i="20"/>
  <c r="M12" i="20"/>
  <c r="J12" i="20"/>
  <c r="H12" i="20"/>
  <c r="I6" i="20"/>
  <c r="F24" i="20"/>
  <c r="G24" i="20"/>
  <c r="J24" i="20"/>
  <c r="D24" i="20"/>
  <c r="F12" i="20"/>
  <c r="G12" i="20"/>
  <c r="F18" i="20"/>
  <c r="K39" i="20"/>
  <c r="G6" i="20"/>
  <c r="H13" i="20"/>
  <c r="J13" i="20"/>
  <c r="L13" i="20"/>
  <c r="K7" i="20"/>
  <c r="J7" i="20"/>
  <c r="M7" i="20"/>
  <c r="F25" i="20"/>
  <c r="I25" i="20"/>
  <c r="G25" i="20"/>
  <c r="G13" i="20"/>
  <c r="K14" i="20"/>
  <c r="J14" i="20"/>
  <c r="L14" i="20"/>
  <c r="J25" i="20"/>
  <c r="H26" i="20"/>
  <c r="L26" i="20"/>
  <c r="E26" i="20"/>
  <c r="F26" i="20"/>
  <c r="E14" i="20"/>
  <c r="M8" i="20"/>
  <c r="H8" i="20"/>
  <c r="D26" i="20"/>
  <c r="D14" i="20"/>
  <c r="F23" i="17" l="1"/>
  <c r="J46" i="1"/>
  <c r="J81" i="1" s="1"/>
  <c r="C19" i="17"/>
  <c r="AF44" i="1"/>
  <c r="AF80" i="1" s="1"/>
  <c r="J44" i="1"/>
  <c r="F34" i="17" s="1"/>
  <c r="F43" i="17"/>
  <c r="F73" i="17"/>
  <c r="L76" i="17"/>
  <c r="N79" i="17"/>
  <c r="F79" i="17"/>
  <c r="F78" i="17" s="1"/>
  <c r="H79" i="17"/>
  <c r="H78" i="17" s="1"/>
  <c r="J79" i="17"/>
  <c r="J78" i="17" s="1"/>
  <c r="L79" i="17"/>
  <c r="L78" i="17" s="1"/>
  <c r="X77" i="17"/>
  <c r="F77" i="17"/>
  <c r="J76" i="17"/>
  <c r="BL22" i="1"/>
  <c r="L22" i="1" s="1"/>
  <c r="AD24" i="17"/>
  <c r="C25" i="17"/>
  <c r="J36" i="1"/>
  <c r="J76" i="1" s="1"/>
  <c r="J40" i="1"/>
  <c r="J78" i="1" s="1"/>
  <c r="AF34" i="1"/>
  <c r="AF75" i="1" s="1"/>
  <c r="F21" i="17"/>
  <c r="AD22" i="17"/>
  <c r="J32" i="1"/>
  <c r="J74" i="1" s="1"/>
  <c r="AV151" i="1"/>
  <c r="J38" i="1"/>
  <c r="AZ149" i="1"/>
  <c r="AP151" i="1"/>
  <c r="AF151" i="1"/>
  <c r="AF42" i="1"/>
  <c r="AF79" i="1" s="1"/>
  <c r="H50" i="17"/>
  <c r="AL151" i="1"/>
  <c r="R45" i="17"/>
  <c r="F25" i="17"/>
  <c r="BL28" i="1"/>
  <c r="AH28" i="1" s="1"/>
  <c r="M32" i="23" s="1"/>
  <c r="AF78" i="1"/>
  <c r="AR151" i="1"/>
  <c r="AD98" i="1"/>
  <c r="N48" i="17"/>
  <c r="AX151" i="1"/>
  <c r="AH151" i="1"/>
  <c r="F47" i="17"/>
  <c r="AT151" i="1"/>
  <c r="AN151" i="1"/>
  <c r="BL36" i="1"/>
  <c r="AH36" i="1" s="1"/>
  <c r="AH76" i="1" s="1"/>
  <c r="AF76" i="1"/>
  <c r="F19" i="17"/>
  <c r="AF24" i="1"/>
  <c r="L28" i="23" s="1"/>
  <c r="AD26" i="17"/>
  <c r="AF22" i="1"/>
  <c r="L26" i="23" s="1"/>
  <c r="F17" i="17"/>
  <c r="C21" i="17"/>
  <c r="C23" i="17"/>
  <c r="T47" i="17"/>
  <c r="L68" i="17"/>
  <c r="L70" i="17" s="1"/>
  <c r="R57" i="17"/>
  <c r="R59" i="17" s="1"/>
  <c r="R68" i="17"/>
  <c r="R70" i="17" s="1"/>
  <c r="H68" i="17"/>
  <c r="H70" i="17" s="1"/>
  <c r="X48" i="17"/>
  <c r="J46" i="17"/>
  <c r="H46" i="17"/>
  <c r="X46" i="17"/>
  <c r="L46" i="17"/>
  <c r="R46" i="17"/>
  <c r="V46" i="17"/>
  <c r="P46" i="17"/>
  <c r="N46" i="17"/>
  <c r="T46" i="17"/>
  <c r="F46" i="17"/>
  <c r="P28" i="17"/>
  <c r="L73" i="17"/>
  <c r="N28" i="17"/>
  <c r="L28" i="17"/>
  <c r="R50" i="17"/>
  <c r="X28" i="17"/>
  <c r="H45" i="17"/>
  <c r="J57" i="17"/>
  <c r="J59" i="17" s="1"/>
  <c r="N57" i="17"/>
  <c r="N59" i="17" s="1"/>
  <c r="H73" i="17"/>
  <c r="X30" i="17"/>
  <c r="J48" i="17"/>
  <c r="J73" i="17"/>
  <c r="V73" i="17"/>
  <c r="BL30" i="1"/>
  <c r="AH30" i="1" s="1"/>
  <c r="M34" i="23" s="1"/>
  <c r="BL24" i="1"/>
  <c r="AH24" i="1" s="1"/>
  <c r="M28" i="23" s="1"/>
  <c r="BN36" i="1"/>
  <c r="BP36" i="1" s="1"/>
  <c r="BL38" i="1"/>
  <c r="AH38" i="1" s="1"/>
  <c r="AH77" i="1" s="1"/>
  <c r="BN38" i="1"/>
  <c r="BR38" i="1" s="1"/>
  <c r="CM38" i="1"/>
  <c r="CQ38" i="1" s="1"/>
  <c r="BN46" i="1"/>
  <c r="BL46" i="1"/>
  <c r="BN62" i="1"/>
  <c r="BR62" i="1" s="1"/>
  <c r="BL42" i="1"/>
  <c r="L42" i="1" s="1"/>
  <c r="CQ28" i="1"/>
  <c r="BL26" i="1"/>
  <c r="AH26" i="1" s="1"/>
  <c r="M30" i="23" s="1"/>
  <c r="AZ199" i="1"/>
  <c r="P85" i="23"/>
  <c r="P89" i="23"/>
  <c r="P57" i="17"/>
  <c r="P59" i="17" s="1"/>
  <c r="H35" i="17"/>
  <c r="D50" i="20"/>
  <c r="G44" i="20"/>
  <c r="F44" i="20"/>
  <c r="E44" i="20"/>
  <c r="H44" i="20"/>
  <c r="D44" i="20"/>
  <c r="P63" i="17"/>
  <c r="D39" i="20"/>
  <c r="T63" i="17"/>
  <c r="M54" i="20"/>
  <c r="E38" i="20"/>
  <c r="AZ98" i="1"/>
  <c r="AZ129" i="1"/>
  <c r="N7" i="20"/>
  <c r="I7" i="20"/>
  <c r="CI64" i="1"/>
  <c r="CM64" i="1" s="1"/>
  <c r="CQ64" i="1" s="1"/>
  <c r="BP42" i="1"/>
  <c r="BR42" i="1"/>
  <c r="AJ151" i="1"/>
  <c r="AF165" i="1"/>
  <c r="AZ165" i="1" s="1"/>
  <c r="BN60" i="1"/>
  <c r="BP24" i="1"/>
  <c r="BR24" i="1"/>
  <c r="BL32" i="1"/>
  <c r="BN32" i="1"/>
  <c r="J35" i="17"/>
  <c r="F35" i="17"/>
  <c r="I5" i="20"/>
  <c r="N5" i="20"/>
  <c r="BN44" i="1"/>
  <c r="BL44" i="1"/>
  <c r="L35" i="17"/>
  <c r="J165" i="1"/>
  <c r="AD165" i="1" s="1"/>
  <c r="CM44" i="1"/>
  <c r="BP26" i="1"/>
  <c r="BR26" i="1"/>
  <c r="T62" i="17"/>
  <c r="BR34" i="1"/>
  <c r="BO34" i="1"/>
  <c r="BS34" i="1" s="1"/>
  <c r="BW34" i="1" s="1"/>
  <c r="CA34" i="1" s="1"/>
  <c r="CE34" i="1" s="1"/>
  <c r="CI34" i="1" s="1"/>
  <c r="CM34" i="1" s="1"/>
  <c r="CQ34" i="1" s="1"/>
  <c r="BL34" i="1"/>
  <c r="N35" i="17"/>
  <c r="BT28" i="1"/>
  <c r="BV28" i="1"/>
  <c r="BN22" i="1"/>
  <c r="AF72" i="1"/>
  <c r="L33" i="23" s="1"/>
  <c r="I8" i="20"/>
  <c r="D45" i="20"/>
  <c r="F45" i="20"/>
  <c r="H45" i="20"/>
  <c r="N6" i="20"/>
  <c r="BP28" i="1"/>
  <c r="BR64" i="1"/>
  <c r="BL40" i="1"/>
  <c r="BP30" i="1"/>
  <c r="BR30" i="1"/>
  <c r="E39" i="20"/>
  <c r="F39" i="20"/>
  <c r="G39" i="20"/>
  <c r="H39" i="20"/>
  <c r="N43" i="17"/>
  <c r="G45" i="20"/>
  <c r="BP40" i="1"/>
  <c r="BR40" i="1"/>
  <c r="L54" i="20"/>
  <c r="E45" i="20"/>
  <c r="I11" i="20"/>
  <c r="N11" i="20"/>
  <c r="G38" i="20"/>
  <c r="F38" i="20"/>
  <c r="H50" i="20"/>
  <c r="G50" i="20"/>
  <c r="AD134" i="1"/>
  <c r="N38" i="20" s="1"/>
  <c r="F50" i="20"/>
  <c r="N14" i="20"/>
  <c r="H32" i="20"/>
  <c r="B14" i="21"/>
  <c r="AD118" i="1"/>
  <c r="N20" i="20" s="1"/>
  <c r="N23" i="20"/>
  <c r="N26" i="20"/>
  <c r="R62" i="17"/>
  <c r="J32" i="20"/>
  <c r="K54" i="20"/>
  <c r="X63" i="17"/>
  <c r="N37" i="20"/>
  <c r="N49" i="20"/>
  <c r="G32" i="20"/>
  <c r="N17" i="20"/>
  <c r="H5" i="20"/>
  <c r="N12" i="20"/>
  <c r="N25" i="20"/>
  <c r="M32" i="20"/>
  <c r="N13" i="20"/>
  <c r="AD116" i="1"/>
  <c r="N18" i="20" s="1"/>
  <c r="J54" i="20"/>
  <c r="N30" i="20"/>
  <c r="V62" i="17"/>
  <c r="L62" i="17"/>
  <c r="D30" i="20"/>
  <c r="E30" i="20"/>
  <c r="L32" i="20"/>
  <c r="H43" i="17"/>
  <c r="X45" i="17"/>
  <c r="V45" i="17"/>
  <c r="T45" i="17"/>
  <c r="V63" i="17"/>
  <c r="H76" i="17"/>
  <c r="R28" i="17"/>
  <c r="H62" i="17"/>
  <c r="F62" i="17"/>
  <c r="R63" i="17"/>
  <c r="H77" i="17"/>
  <c r="R73" i="17"/>
  <c r="L37" i="17"/>
  <c r="F76" i="17"/>
  <c r="J28" i="17"/>
  <c r="L77" i="17"/>
  <c r="J37" i="17"/>
  <c r="R76" i="17"/>
  <c r="F32" i="17"/>
  <c r="P77" i="17"/>
  <c r="R77" i="17"/>
  <c r="T77" i="17"/>
  <c r="H37" i="17"/>
  <c r="F37" i="17"/>
  <c r="N32" i="17"/>
  <c r="R32" i="17"/>
  <c r="V28" i="17"/>
  <c r="T28" i="17"/>
  <c r="H28" i="17"/>
  <c r="C69" i="1"/>
  <c r="J45" i="17"/>
  <c r="L57" i="17"/>
  <c r="L59" i="17" s="1"/>
  <c r="P50" i="17"/>
  <c r="T57" i="17"/>
  <c r="T59" i="17" s="1"/>
  <c r="X50" i="17"/>
  <c r="N50" i="17"/>
  <c r="L43" i="17"/>
  <c r="N68" i="17"/>
  <c r="N70" i="17" s="1"/>
  <c r="R48" i="17"/>
  <c r="X57" i="17"/>
  <c r="X59" i="17" s="1"/>
  <c r="L48" i="17"/>
  <c r="J43" i="17"/>
  <c r="P45" i="17"/>
  <c r="P68" i="17"/>
  <c r="P70" i="17" s="1"/>
  <c r="X68" i="17"/>
  <c r="X70" i="17" s="1"/>
  <c r="N45" i="17"/>
  <c r="F57" i="17"/>
  <c r="F59" i="17" s="1"/>
  <c r="T48" i="17"/>
  <c r="T68" i="17"/>
  <c r="T70" i="17" s="1"/>
  <c r="X47" i="17"/>
  <c r="F45" i="17"/>
  <c r="H69" i="1"/>
  <c r="T50" i="17"/>
  <c r="V57" i="17"/>
  <c r="V59" i="17" s="1"/>
  <c r="J68" i="17"/>
  <c r="J70" i="17" s="1"/>
  <c r="L47" i="17"/>
  <c r="L45" i="17"/>
  <c r="F50" i="17"/>
  <c r="H57" i="17"/>
  <c r="H59" i="17" s="1"/>
  <c r="P48" i="17"/>
  <c r="V48" i="17"/>
  <c r="V68" i="17"/>
  <c r="V70" i="17" s="1"/>
  <c r="F68" i="17"/>
  <c r="F70" i="17" s="1"/>
  <c r="H48" i="17"/>
  <c r="J74" i="17"/>
  <c r="J47" i="17"/>
  <c r="J32" i="17"/>
  <c r="P74" i="17"/>
  <c r="R35" i="17"/>
  <c r="R47" i="17"/>
  <c r="P76" i="17"/>
  <c r="V76" i="17"/>
  <c r="X76" i="17"/>
  <c r="L74" i="17"/>
  <c r="N47" i="17"/>
  <c r="V47" i="17"/>
  <c r="H47" i="17"/>
  <c r="H74" i="17"/>
  <c r="N74" i="17"/>
  <c r="F74" i="17"/>
  <c r="J77" i="17"/>
  <c r="N76" i="17"/>
  <c r="T74" i="17"/>
  <c r="P47" i="17"/>
  <c r="P35" i="17"/>
  <c r="T35" i="17"/>
  <c r="J50" i="17"/>
  <c r="X35" i="17"/>
  <c r="H75" i="17"/>
  <c r="F30" i="17"/>
  <c r="N75" i="17"/>
  <c r="V30" i="17"/>
  <c r="R30" i="17"/>
  <c r="V50" i="17"/>
  <c r="F75" i="17"/>
  <c r="L50" i="17"/>
  <c r="P75" i="17"/>
  <c r="R33" i="17"/>
  <c r="T32" i="17"/>
  <c r="V77" i="17"/>
  <c r="V75" i="17"/>
  <c r="T30" i="17"/>
  <c r="J75" i="17"/>
  <c r="N77" i="17"/>
  <c r="T33" i="17"/>
  <c r="V32" i="17"/>
  <c r="X73" i="17"/>
  <c r="L33" i="17"/>
  <c r="V33" i="17"/>
  <c r="P79" i="17"/>
  <c r="P78" i="17" s="1"/>
  <c r="F33" i="17"/>
  <c r="H30" i="17"/>
  <c r="P30" i="17"/>
  <c r="N30" i="17"/>
  <c r="H33" i="17"/>
  <c r="F48" i="17"/>
  <c r="L75" i="17"/>
  <c r="J33" i="17"/>
  <c r="H32" i="17"/>
  <c r="N33" i="17"/>
  <c r="P32" i="17"/>
  <c r="R74" i="17"/>
  <c r="T73" i="17"/>
  <c r="X32" i="17"/>
  <c r="X74" i="17"/>
  <c r="P33" i="17"/>
  <c r="R75" i="17"/>
  <c r="L30" i="17"/>
  <c r="T75" i="17"/>
  <c r="D32" i="20"/>
  <c r="N8" i="20"/>
  <c r="F32" i="20"/>
  <c r="AF71" i="1"/>
  <c r="L31" i="23" s="1"/>
  <c r="N86" i="1"/>
  <c r="J52" i="17" s="1"/>
  <c r="P86" i="1"/>
  <c r="L52" i="17" s="1"/>
  <c r="J75" i="1"/>
  <c r="AF81" i="1"/>
  <c r="R86" i="1"/>
  <c r="N52" i="17" s="1"/>
  <c r="L86" i="1"/>
  <c r="H52" i="17" s="1"/>
  <c r="J86" i="1"/>
  <c r="F52" i="17" s="1"/>
  <c r="AF77" i="1"/>
  <c r="AF86" i="1"/>
  <c r="AF74" i="1"/>
  <c r="J79" i="1"/>
  <c r="AF73" i="1"/>
  <c r="L35" i="23" s="1"/>
  <c r="L199" i="1"/>
  <c r="J199" i="1"/>
  <c r="X62" i="17"/>
  <c r="P62" i="17"/>
  <c r="M5" i="20"/>
  <c r="F11" i="20"/>
  <c r="E11" i="20"/>
  <c r="N24" i="20"/>
  <c r="AD117" i="1"/>
  <c r="N19" i="20" s="1"/>
  <c r="N43" i="20"/>
  <c r="G7" i="20"/>
  <c r="H20" i="20"/>
  <c r="K32" i="20"/>
  <c r="N62" i="17"/>
  <c r="N199" i="1"/>
  <c r="T199" i="1"/>
  <c r="J72" i="1" l="1"/>
  <c r="AD191" i="1"/>
  <c r="AH85" i="1"/>
  <c r="J83" i="1"/>
  <c r="J82" i="1"/>
  <c r="F29" i="17"/>
  <c r="J73" i="1"/>
  <c r="J84" i="1"/>
  <c r="J77" i="1"/>
  <c r="F44" i="17" s="1"/>
  <c r="L36" i="1"/>
  <c r="L76" i="1" s="1"/>
  <c r="J71" i="1"/>
  <c r="F16" i="17"/>
  <c r="J80" i="1"/>
  <c r="F49" i="17" s="1"/>
  <c r="AF83" i="1"/>
  <c r="AF84" i="1"/>
  <c r="AF85" i="1"/>
  <c r="AZ151" i="1"/>
  <c r="AH70" i="1"/>
  <c r="M29" i="23" s="1"/>
  <c r="J85" i="1"/>
  <c r="J70" i="1"/>
  <c r="AF82" i="1"/>
  <c r="AH72" i="1"/>
  <c r="M33" i="23" s="1"/>
  <c r="AF26" i="17"/>
  <c r="H23" i="17"/>
  <c r="L73" i="1"/>
  <c r="AF24" i="17"/>
  <c r="AF70" i="1"/>
  <c r="L29" i="23" s="1"/>
  <c r="AH83" i="1"/>
  <c r="AF22" i="17"/>
  <c r="H19" i="17"/>
  <c r="AH71" i="1"/>
  <c r="M31" i="23" s="1"/>
  <c r="AF66" i="1"/>
  <c r="H21" i="17"/>
  <c r="J66" i="1"/>
  <c r="F36" i="17"/>
  <c r="F81" i="17"/>
  <c r="Z46" i="17"/>
  <c r="AF69" i="1"/>
  <c r="L27" i="23" s="1"/>
  <c r="AF20" i="17"/>
  <c r="BP38" i="1"/>
  <c r="AJ38" i="1" s="1"/>
  <c r="AJ77" i="1" s="1"/>
  <c r="AH73" i="1"/>
  <c r="M35" i="23" s="1"/>
  <c r="BR36" i="1"/>
  <c r="AH86" i="1"/>
  <c r="BV62" i="1"/>
  <c r="L38" i="1"/>
  <c r="L77" i="1" s="1"/>
  <c r="AH42" i="1"/>
  <c r="AH79" i="1" s="1"/>
  <c r="AH46" i="1"/>
  <c r="AH81" i="1" s="1"/>
  <c r="L46" i="1"/>
  <c r="L81" i="1" s="1"/>
  <c r="BX28" i="1"/>
  <c r="AL24" i="17" s="1"/>
  <c r="BZ28" i="1"/>
  <c r="AJ36" i="1"/>
  <c r="AJ76" i="1" s="1"/>
  <c r="N36" i="1"/>
  <c r="N76" i="1" s="1"/>
  <c r="BP46" i="1"/>
  <c r="BR46" i="1"/>
  <c r="BP34" i="1"/>
  <c r="N34" i="1" s="1"/>
  <c r="N75" i="1" s="1"/>
  <c r="AH82" i="1"/>
  <c r="I54" i="20"/>
  <c r="AD149" i="1"/>
  <c r="I32" i="20"/>
  <c r="N32" i="20"/>
  <c r="N50" i="20"/>
  <c r="N44" i="20"/>
  <c r="H46" i="20"/>
  <c r="P65" i="17"/>
  <c r="T65" i="17"/>
  <c r="X65" i="17"/>
  <c r="M56" i="20"/>
  <c r="V151" i="1"/>
  <c r="J56" i="20" s="1"/>
  <c r="Z73" i="17"/>
  <c r="BR60" i="1"/>
  <c r="AL28" i="1"/>
  <c r="AJ24" i="17"/>
  <c r="E46" i="20"/>
  <c r="D38" i="20"/>
  <c r="AH34" i="1"/>
  <c r="AH75" i="1" s="1"/>
  <c r="L34" i="1"/>
  <c r="L75" i="1" s="1"/>
  <c r="G51" i="20"/>
  <c r="H51" i="20"/>
  <c r="E51" i="20"/>
  <c r="F51" i="20"/>
  <c r="BV64" i="1"/>
  <c r="AH44" i="1"/>
  <c r="AH80" i="1" s="1"/>
  <c r="L44" i="1"/>
  <c r="BT24" i="1"/>
  <c r="BV24" i="1"/>
  <c r="BT42" i="1"/>
  <c r="BV42" i="1"/>
  <c r="BT40" i="1"/>
  <c r="BV40" i="1"/>
  <c r="D46" i="20"/>
  <c r="AH22" i="1"/>
  <c r="AF18" i="17"/>
  <c r="BT34" i="1"/>
  <c r="BV34" i="1"/>
  <c r="BP44" i="1"/>
  <c r="BR44" i="1"/>
  <c r="AJ24" i="1"/>
  <c r="AH20" i="17"/>
  <c r="AJ42" i="1"/>
  <c r="AJ79" i="1" s="1"/>
  <c r="N42" i="1"/>
  <c r="N79" i="1" s="1"/>
  <c r="N40" i="1"/>
  <c r="N78" i="1" s="1"/>
  <c r="AJ40" i="1"/>
  <c r="AJ78" i="1" s="1"/>
  <c r="AJ28" i="1"/>
  <c r="AH24" i="17"/>
  <c r="BP22" i="1"/>
  <c r="N22" i="1" s="1"/>
  <c r="BR22" i="1"/>
  <c r="AD135" i="1"/>
  <c r="N39" i="20" s="1"/>
  <c r="G46" i="20"/>
  <c r="AD141" i="1"/>
  <c r="N45" i="20" s="1"/>
  <c r="AJ30" i="1"/>
  <c r="AH26" i="17"/>
  <c r="AJ26" i="1"/>
  <c r="AH22" i="17"/>
  <c r="CQ44" i="1"/>
  <c r="BT30" i="1"/>
  <c r="BV30" i="1"/>
  <c r="BT26" i="1"/>
  <c r="BV26" i="1"/>
  <c r="L79" i="1"/>
  <c r="F46" i="20"/>
  <c r="AH40" i="1"/>
  <c r="L40" i="1"/>
  <c r="BT38" i="1"/>
  <c r="BV38" i="1"/>
  <c r="BP32" i="1"/>
  <c r="BR32" i="1"/>
  <c r="AH32" i="1"/>
  <c r="L32" i="1"/>
  <c r="T151" i="1"/>
  <c r="I56" i="20" s="1"/>
  <c r="Z28" i="17"/>
  <c r="R65" i="17"/>
  <c r="V65" i="17"/>
  <c r="Z151" i="1"/>
  <c r="L56" i="20" s="1"/>
  <c r="Z43" i="17"/>
  <c r="J69" i="1"/>
  <c r="H81" i="17"/>
  <c r="Z45" i="17"/>
  <c r="Z48" i="17"/>
  <c r="Z57" i="17"/>
  <c r="Z59" i="17"/>
  <c r="Z68" i="17"/>
  <c r="Z77" i="17"/>
  <c r="Z76" i="17"/>
  <c r="Z47" i="17"/>
  <c r="Z74" i="17"/>
  <c r="P81" i="17"/>
  <c r="Z50" i="17"/>
  <c r="Z32" i="17"/>
  <c r="Z35" i="17"/>
  <c r="Z75" i="17"/>
  <c r="J81" i="17"/>
  <c r="Z33" i="17"/>
  <c r="Z30" i="17"/>
  <c r="E32" i="20"/>
  <c r="Z62" i="17"/>
  <c r="X151" i="1"/>
  <c r="K56" i="20" s="1"/>
  <c r="V199" i="1"/>
  <c r="R79" i="17"/>
  <c r="R78" i="17" s="1"/>
  <c r="R81" i="17" s="1"/>
  <c r="P199" i="1"/>
  <c r="Z70" i="17"/>
  <c r="F42" i="17" l="1"/>
  <c r="L70" i="1"/>
  <c r="AJ85" i="1"/>
  <c r="H25" i="17"/>
  <c r="F27" i="17"/>
  <c r="F39" i="17" s="1"/>
  <c r="F51" i="17"/>
  <c r="J88" i="1"/>
  <c r="J90" i="1" s="1"/>
  <c r="AF88" i="1"/>
  <c r="AF202" i="1" s="1"/>
  <c r="N38" i="1"/>
  <c r="N77" i="1" s="1"/>
  <c r="L83" i="1"/>
  <c r="BZ62" i="1"/>
  <c r="CD62" i="1" s="1"/>
  <c r="L72" i="1"/>
  <c r="L71" i="1"/>
  <c r="AN28" i="1"/>
  <c r="AN72" i="1" s="1"/>
  <c r="P33" i="23" s="1"/>
  <c r="BT36" i="1"/>
  <c r="BV36" i="1"/>
  <c r="AJ34" i="1"/>
  <c r="AJ75" i="1" s="1"/>
  <c r="AJ86" i="1"/>
  <c r="N23" i="17"/>
  <c r="BX24" i="1"/>
  <c r="AN24" i="1" s="1"/>
  <c r="BZ24" i="1"/>
  <c r="BX40" i="1"/>
  <c r="AN40" i="1" s="1"/>
  <c r="AN78" i="1" s="1"/>
  <c r="BZ40" i="1"/>
  <c r="CB28" i="1"/>
  <c r="CD28" i="1"/>
  <c r="BX34" i="1"/>
  <c r="AN34" i="1" s="1"/>
  <c r="AN75" i="1" s="1"/>
  <c r="BZ34" i="1"/>
  <c r="BX42" i="1"/>
  <c r="R42" i="1" s="1"/>
  <c r="R79" i="1" s="1"/>
  <c r="BZ42" i="1"/>
  <c r="BT46" i="1"/>
  <c r="BV46" i="1"/>
  <c r="N46" i="1"/>
  <c r="N81" i="1" s="1"/>
  <c r="AJ46" i="1"/>
  <c r="AJ81" i="1" s="1"/>
  <c r="BX30" i="1"/>
  <c r="AL26" i="17" s="1"/>
  <c r="BZ30" i="1"/>
  <c r="BX38" i="1"/>
  <c r="AN38" i="1" s="1"/>
  <c r="AN77" i="1" s="1"/>
  <c r="BZ38" i="1"/>
  <c r="BX26" i="1"/>
  <c r="AL22" i="17" s="1"/>
  <c r="BZ26" i="1"/>
  <c r="BZ64" i="1"/>
  <c r="L80" i="1"/>
  <c r="H34" i="17"/>
  <c r="L85" i="1"/>
  <c r="N34" i="23"/>
  <c r="AJ73" i="1"/>
  <c r="BT22" i="1"/>
  <c r="P22" i="1" s="1"/>
  <c r="BV22" i="1"/>
  <c r="D40" i="20"/>
  <c r="AD136" i="1"/>
  <c r="N40" i="20" s="1"/>
  <c r="L78" i="1"/>
  <c r="J19" i="17"/>
  <c r="N70" i="1"/>
  <c r="M26" i="23"/>
  <c r="AH66" i="1"/>
  <c r="E40" i="20"/>
  <c r="BT32" i="1"/>
  <c r="BV32" i="1"/>
  <c r="AJ84" i="1"/>
  <c r="AJ22" i="1"/>
  <c r="AH18" i="17"/>
  <c r="AL42" i="1"/>
  <c r="P42" i="1"/>
  <c r="P79" i="1" s="1"/>
  <c r="D51" i="20"/>
  <c r="N51" i="20"/>
  <c r="H40" i="20"/>
  <c r="H29" i="17"/>
  <c r="L74" i="1"/>
  <c r="AJ32" i="1"/>
  <c r="AJ74" i="1" s="1"/>
  <c r="N32" i="1"/>
  <c r="BT44" i="1"/>
  <c r="BV44" i="1"/>
  <c r="L23" i="17"/>
  <c r="P72" i="1"/>
  <c r="G40" i="20"/>
  <c r="F40" i="20"/>
  <c r="N73" i="1"/>
  <c r="J25" i="17"/>
  <c r="P34" i="1"/>
  <c r="P75" i="1" s="1"/>
  <c r="AL34" i="1"/>
  <c r="AH74" i="1"/>
  <c r="AJ82" i="1"/>
  <c r="AL30" i="1"/>
  <c r="AJ26" i="17"/>
  <c r="J23" i="17"/>
  <c r="N72" i="1"/>
  <c r="AJ44" i="1"/>
  <c r="AJ80" i="1" s="1"/>
  <c r="N44" i="1"/>
  <c r="E52" i="20"/>
  <c r="G52" i="20"/>
  <c r="H52" i="20"/>
  <c r="F52" i="20"/>
  <c r="AH84" i="1"/>
  <c r="BV60" i="1"/>
  <c r="AJ22" i="17"/>
  <c r="AL26" i="1"/>
  <c r="AH78" i="1"/>
  <c r="N28" i="23"/>
  <c r="AJ70" i="1"/>
  <c r="AH69" i="1"/>
  <c r="M27" i="23" s="1"/>
  <c r="N82" i="1"/>
  <c r="J21" i="17"/>
  <c r="N71" i="1"/>
  <c r="N32" i="23"/>
  <c r="AJ72" i="1"/>
  <c r="AL40" i="1"/>
  <c r="AL78" i="1" s="1"/>
  <c r="P40" i="1"/>
  <c r="P78" i="1" s="1"/>
  <c r="L84" i="1"/>
  <c r="O32" i="23"/>
  <c r="AL72" i="1"/>
  <c r="O33" i="23" s="1"/>
  <c r="AL38" i="1"/>
  <c r="P38" i="1"/>
  <c r="P77" i="1" s="1"/>
  <c r="H17" i="17"/>
  <c r="L66" i="1"/>
  <c r="N84" i="1"/>
  <c r="L69" i="1"/>
  <c r="H36" i="17"/>
  <c r="L82" i="1"/>
  <c r="N30" i="23"/>
  <c r="AJ71" i="1"/>
  <c r="AL24" i="1"/>
  <c r="AJ20" i="17"/>
  <c r="AD142" i="1"/>
  <c r="N46" i="20" s="1"/>
  <c r="R199" i="1"/>
  <c r="X199" i="1"/>
  <c r="T79" i="17"/>
  <c r="T78" i="17" s="1"/>
  <c r="T81" i="17" s="1"/>
  <c r="AF206" i="1" l="1"/>
  <c r="AF208" i="1" s="1"/>
  <c r="AF210" i="1" s="1"/>
  <c r="AF203" i="1"/>
  <c r="N85" i="1"/>
  <c r="J202" i="1"/>
  <c r="J203" i="1" s="1"/>
  <c r="AF90" i="1"/>
  <c r="AL20" i="17"/>
  <c r="N19" i="17"/>
  <c r="F54" i="17"/>
  <c r="P32" i="23"/>
  <c r="Q32" i="23" s="1"/>
  <c r="H42" i="17"/>
  <c r="J36" i="17"/>
  <c r="R72" i="1"/>
  <c r="R38" i="1"/>
  <c r="R77" i="1" s="1"/>
  <c r="N78" i="17"/>
  <c r="N81" i="17" s="1"/>
  <c r="N25" i="17"/>
  <c r="AN30" i="1"/>
  <c r="P34" i="23" s="1"/>
  <c r="AN42" i="1"/>
  <c r="AN79" i="1" s="1"/>
  <c r="BX36" i="1"/>
  <c r="BZ36" i="1"/>
  <c r="P36" i="1"/>
  <c r="P76" i="1" s="1"/>
  <c r="AL36" i="1"/>
  <c r="AL76" i="1" s="1"/>
  <c r="CF28" i="1"/>
  <c r="AP24" i="17" s="1"/>
  <c r="CH28" i="1"/>
  <c r="CH62" i="1"/>
  <c r="AN26" i="1"/>
  <c r="P30" i="23" s="1"/>
  <c r="AN85" i="1"/>
  <c r="R40" i="1"/>
  <c r="R78" i="1" s="1"/>
  <c r="CB34" i="1"/>
  <c r="CD34" i="1"/>
  <c r="CB38" i="1"/>
  <c r="CD38" i="1"/>
  <c r="R34" i="1"/>
  <c r="R75" i="1" s="1"/>
  <c r="CD64" i="1"/>
  <c r="BX22" i="1"/>
  <c r="BZ22" i="1"/>
  <c r="AL46" i="1"/>
  <c r="AL81" i="1" s="1"/>
  <c r="P46" i="1"/>
  <c r="P81" i="1" s="1"/>
  <c r="AN86" i="1"/>
  <c r="BZ60" i="1"/>
  <c r="CB42" i="1"/>
  <c r="CD42" i="1"/>
  <c r="R71" i="1"/>
  <c r="CD30" i="1"/>
  <c r="CB30" i="1"/>
  <c r="AN24" i="17"/>
  <c r="AP28" i="1"/>
  <c r="BX46" i="1"/>
  <c r="BZ46" i="1"/>
  <c r="CD40" i="1"/>
  <c r="CB40" i="1"/>
  <c r="CB26" i="1"/>
  <c r="CD26" i="1"/>
  <c r="BX44" i="1"/>
  <c r="AN44" i="1" s="1"/>
  <c r="AN80" i="1" s="1"/>
  <c r="BZ44" i="1"/>
  <c r="AN84" i="1"/>
  <c r="BX32" i="1"/>
  <c r="AN32" i="1" s="1"/>
  <c r="AN74" i="1" s="1"/>
  <c r="BZ32" i="1"/>
  <c r="CD24" i="1"/>
  <c r="CB24" i="1"/>
  <c r="N63" i="17"/>
  <c r="N65" i="17" s="1"/>
  <c r="H54" i="20"/>
  <c r="F54" i="20"/>
  <c r="J63" i="17"/>
  <c r="J65" i="17" s="1"/>
  <c r="L88" i="1"/>
  <c r="L90" i="1" s="1"/>
  <c r="D54" i="20"/>
  <c r="L21" i="17"/>
  <c r="P71" i="1"/>
  <c r="L19" i="17"/>
  <c r="P70" i="1"/>
  <c r="AJ66" i="1"/>
  <c r="N26" i="23"/>
  <c r="AJ69" i="1"/>
  <c r="AJ83" i="1"/>
  <c r="H63" i="17"/>
  <c r="H65" i="17" s="1"/>
  <c r="AJ18" i="17"/>
  <c r="AL22" i="1"/>
  <c r="O28" i="23"/>
  <c r="AL70" i="1"/>
  <c r="O29" i="23" s="1"/>
  <c r="P44" i="1"/>
  <c r="AL44" i="1"/>
  <c r="J17" i="17"/>
  <c r="J16" i="17" s="1"/>
  <c r="N66" i="1"/>
  <c r="N69" i="1"/>
  <c r="J34" i="17"/>
  <c r="N80" i="1"/>
  <c r="J49" i="17" s="1"/>
  <c r="J29" i="17"/>
  <c r="N74" i="1"/>
  <c r="J44" i="17" s="1"/>
  <c r="H51" i="17"/>
  <c r="AH88" i="1"/>
  <c r="AH202" i="1" s="1"/>
  <c r="AL77" i="1"/>
  <c r="N29" i="23"/>
  <c r="H44" i="17"/>
  <c r="AL79" i="1"/>
  <c r="N35" i="23"/>
  <c r="H49" i="17"/>
  <c r="N33" i="23"/>
  <c r="Q33" i="23" s="1"/>
  <c r="AL86" i="1"/>
  <c r="L25" i="17"/>
  <c r="P73" i="1"/>
  <c r="AL75" i="1"/>
  <c r="H27" i="17"/>
  <c r="N83" i="1"/>
  <c r="AL82" i="1"/>
  <c r="N31" i="23"/>
  <c r="H16" i="17"/>
  <c r="AL84" i="1"/>
  <c r="P28" i="23"/>
  <c r="AN70" i="1"/>
  <c r="P29" i="23" s="1"/>
  <c r="O30" i="23"/>
  <c r="AL71" i="1"/>
  <c r="O31" i="23" s="1"/>
  <c r="D52" i="20"/>
  <c r="N52" i="20"/>
  <c r="F63" i="17"/>
  <c r="O34" i="23"/>
  <c r="AL73" i="1"/>
  <c r="O35" i="23" s="1"/>
  <c r="L63" i="17"/>
  <c r="L65" i="17" s="1"/>
  <c r="AL32" i="1"/>
  <c r="P32" i="1"/>
  <c r="P82" i="1"/>
  <c r="AL83" i="1"/>
  <c r="AF205" i="1"/>
  <c r="L81" i="17"/>
  <c r="V79" i="17"/>
  <c r="V78" i="17" s="1"/>
  <c r="V81" i="17" s="1"/>
  <c r="Z199" i="1"/>
  <c r="AN22" i="1" l="1"/>
  <c r="R22" i="1"/>
  <c r="J206" i="1"/>
  <c r="AH206" i="1"/>
  <c r="AH205" i="1" s="1"/>
  <c r="AH203" i="1"/>
  <c r="J51" i="17"/>
  <c r="R85" i="1"/>
  <c r="R73" i="1"/>
  <c r="R70" i="1"/>
  <c r="AN73" i="1"/>
  <c r="P35" i="23" s="1"/>
  <c r="Q35" i="23" s="1"/>
  <c r="F91" i="17"/>
  <c r="AF215" i="1"/>
  <c r="G18" i="21"/>
  <c r="AR28" i="1"/>
  <c r="AR72" i="1" s="1"/>
  <c r="R32" i="1"/>
  <c r="R74" i="1" s="1"/>
  <c r="N21" i="17"/>
  <c r="R23" i="17"/>
  <c r="CD36" i="1"/>
  <c r="CB36" i="1"/>
  <c r="R36" i="1"/>
  <c r="R76" i="1" s="1"/>
  <c r="AN36" i="1"/>
  <c r="AN76" i="1" s="1"/>
  <c r="CF34" i="1"/>
  <c r="AR34" i="1" s="1"/>
  <c r="AR75" i="1" s="1"/>
  <c r="CH34" i="1"/>
  <c r="CF42" i="1"/>
  <c r="V42" i="1" s="1"/>
  <c r="V79" i="1" s="1"/>
  <c r="CH42" i="1"/>
  <c r="CL62" i="1"/>
  <c r="CF24" i="1"/>
  <c r="CH24" i="1"/>
  <c r="CF38" i="1"/>
  <c r="AR38" i="1" s="1"/>
  <c r="AR77" i="1" s="1"/>
  <c r="CH38" i="1"/>
  <c r="Q28" i="23"/>
  <c r="AN71" i="1"/>
  <c r="P31" i="23" s="1"/>
  <c r="Q31" i="23" s="1"/>
  <c r="Q30" i="23"/>
  <c r="CF26" i="1"/>
  <c r="CH26" i="1"/>
  <c r="CL28" i="1"/>
  <c r="CJ28" i="1"/>
  <c r="Q34" i="23"/>
  <c r="R82" i="1"/>
  <c r="R44" i="1"/>
  <c r="R80" i="1" s="1"/>
  <c r="AN20" i="17"/>
  <c r="AP24" i="1"/>
  <c r="T40" i="1"/>
  <c r="AP40" i="1"/>
  <c r="CH30" i="1"/>
  <c r="CF30" i="1"/>
  <c r="AL18" i="17"/>
  <c r="AN82" i="1"/>
  <c r="R69" i="1"/>
  <c r="CD32" i="1"/>
  <c r="CB32" i="1"/>
  <c r="CD60" i="1"/>
  <c r="AN26" i="17"/>
  <c r="AP30" i="1"/>
  <c r="T34" i="1"/>
  <c r="T75" i="1" s="1"/>
  <c r="AP34" i="1"/>
  <c r="AP75" i="1" s="1"/>
  <c r="R84" i="1"/>
  <c r="AP38" i="1"/>
  <c r="T38" i="1"/>
  <c r="AP72" i="1"/>
  <c r="CD46" i="1"/>
  <c r="CB46" i="1"/>
  <c r="AP26" i="1"/>
  <c r="AN22" i="17"/>
  <c r="CD22" i="1"/>
  <c r="CB22" i="1"/>
  <c r="T22" i="1" s="1"/>
  <c r="CD44" i="1"/>
  <c r="CB44" i="1"/>
  <c r="P23" i="17"/>
  <c r="T72" i="1"/>
  <c r="CH40" i="1"/>
  <c r="CF40" i="1"/>
  <c r="R46" i="1"/>
  <c r="AN46" i="1"/>
  <c r="AN81" i="1" s="1"/>
  <c r="AP42" i="1"/>
  <c r="AP79" i="1" s="1"/>
  <c r="T42" i="1"/>
  <c r="T79" i="1" s="1"/>
  <c r="CH64" i="1"/>
  <c r="N151" i="1"/>
  <c r="F56" i="20" s="1"/>
  <c r="N54" i="20"/>
  <c r="R151" i="1"/>
  <c r="H56" i="20" s="1"/>
  <c r="L36" i="17"/>
  <c r="P83" i="1"/>
  <c r="AH90" i="1"/>
  <c r="J27" i="17"/>
  <c r="J39" i="17" s="1"/>
  <c r="N88" i="1"/>
  <c r="J42" i="17"/>
  <c r="AL85" i="1"/>
  <c r="P26" i="23"/>
  <c r="AN69" i="1"/>
  <c r="P85" i="1"/>
  <c r="D56" i="20"/>
  <c r="O26" i="23"/>
  <c r="AL66" i="1"/>
  <c r="AL69" i="1"/>
  <c r="AL74" i="1"/>
  <c r="F65" i="17"/>
  <c r="Z63" i="17"/>
  <c r="AL80" i="1"/>
  <c r="L17" i="17"/>
  <c r="P66" i="1"/>
  <c r="P69" i="1"/>
  <c r="P84" i="1"/>
  <c r="G54" i="20"/>
  <c r="P151" i="1"/>
  <c r="G56" i="20" s="1"/>
  <c r="H39" i="17"/>
  <c r="E54" i="20"/>
  <c r="L151" i="1"/>
  <c r="L202" i="1" s="1"/>
  <c r="L203" i="1" s="1"/>
  <c r="L34" i="17"/>
  <c r="P80" i="1"/>
  <c r="N27" i="23"/>
  <c r="AJ88" i="1"/>
  <c r="Q29" i="23"/>
  <c r="L29" i="17"/>
  <c r="P74" i="1"/>
  <c r="L44" i="17" s="1"/>
  <c r="H54" i="17"/>
  <c r="AB199" i="1"/>
  <c r="X79" i="17"/>
  <c r="X78" i="17" s="1"/>
  <c r="X81" i="17" s="1"/>
  <c r="AH208" i="1" l="1"/>
  <c r="AH210" i="1" s="1"/>
  <c r="H91" i="17" s="1"/>
  <c r="L206" i="1"/>
  <c r="N36" i="17"/>
  <c r="V72" i="1"/>
  <c r="Z78" i="17"/>
  <c r="V38" i="1"/>
  <c r="V77" i="1" s="1"/>
  <c r="CF36" i="1"/>
  <c r="CH36" i="1"/>
  <c r="AN66" i="1"/>
  <c r="V82" i="1"/>
  <c r="N29" i="17"/>
  <c r="N44" i="17"/>
  <c r="AR42" i="1"/>
  <c r="AR79" i="1" s="1"/>
  <c r="V34" i="1"/>
  <c r="V75" i="1" s="1"/>
  <c r="AP36" i="1"/>
  <c r="AP76" i="1" s="1"/>
  <c r="T36" i="1"/>
  <c r="T76" i="1" s="1"/>
  <c r="AP82" i="1"/>
  <c r="CF44" i="1"/>
  <c r="V44" i="1" s="1"/>
  <c r="CH44" i="1"/>
  <c r="CF22" i="1"/>
  <c r="CH22" i="1"/>
  <c r="CF32" i="1"/>
  <c r="V32" i="1" s="1"/>
  <c r="CH32" i="1"/>
  <c r="V85" i="1"/>
  <c r="CF46" i="1"/>
  <c r="AR46" i="1" s="1"/>
  <c r="AR81" i="1" s="1"/>
  <c r="CH46" i="1"/>
  <c r="AR24" i="1"/>
  <c r="AR70" i="1" s="1"/>
  <c r="AP22" i="17"/>
  <c r="N34" i="17"/>
  <c r="R83" i="1"/>
  <c r="N51" i="17" s="1"/>
  <c r="V84" i="1"/>
  <c r="CH60" i="1"/>
  <c r="AR26" i="1"/>
  <c r="AR71" i="1" s="1"/>
  <c r="CL26" i="1"/>
  <c r="CJ26" i="1"/>
  <c r="CL24" i="1"/>
  <c r="CJ24" i="1"/>
  <c r="AT28" i="1"/>
  <c r="AR24" i="17"/>
  <c r="CP28" i="1"/>
  <c r="CR28" i="1" s="1"/>
  <c r="CN28" i="1"/>
  <c r="CP62" i="1"/>
  <c r="AP20" i="17"/>
  <c r="CJ34" i="1"/>
  <c r="CL34" i="1"/>
  <c r="CL38" i="1"/>
  <c r="CJ38" i="1"/>
  <c r="CL42" i="1"/>
  <c r="CJ42" i="1"/>
  <c r="T82" i="1"/>
  <c r="AP84" i="1"/>
  <c r="T84" i="1"/>
  <c r="AP32" i="1"/>
  <c r="T32" i="1"/>
  <c r="R66" i="1"/>
  <c r="AP44" i="1"/>
  <c r="T44" i="1"/>
  <c r="AP77" i="1"/>
  <c r="AP73" i="1"/>
  <c r="AN83" i="1"/>
  <c r="AN88" i="1" s="1"/>
  <c r="AP70" i="1"/>
  <c r="P21" i="17"/>
  <c r="T71" i="1"/>
  <c r="T70" i="1"/>
  <c r="P19" i="17"/>
  <c r="CL30" i="1"/>
  <c r="CJ30" i="1"/>
  <c r="N17" i="17"/>
  <c r="N16" i="17" s="1"/>
  <c r="AR40" i="1"/>
  <c r="AR78" i="1" s="1"/>
  <c r="V40" i="1"/>
  <c r="V78" i="1" s="1"/>
  <c r="AP78" i="1"/>
  <c r="V71" i="1"/>
  <c r="R21" i="17"/>
  <c r="AP71" i="1"/>
  <c r="V70" i="1"/>
  <c r="R19" i="17"/>
  <c r="AR30" i="1"/>
  <c r="AR73" i="1" s="1"/>
  <c r="AP26" i="17"/>
  <c r="AP46" i="1"/>
  <c r="AP81" i="1" s="1"/>
  <c r="T46" i="1"/>
  <c r="T81" i="1" s="1"/>
  <c r="T77" i="1"/>
  <c r="CL64" i="1"/>
  <c r="R81" i="1"/>
  <c r="CL40" i="1"/>
  <c r="CJ40" i="1"/>
  <c r="AN18" i="17"/>
  <c r="AP22" i="1"/>
  <c r="P25" i="17"/>
  <c r="T73" i="1"/>
  <c r="T78" i="1"/>
  <c r="Q26" i="23"/>
  <c r="N202" i="1"/>
  <c r="N203" i="1" s="1"/>
  <c r="AD151" i="1"/>
  <c r="N56" i="20" s="1"/>
  <c r="L51" i="17"/>
  <c r="N90" i="1"/>
  <c r="L27" i="17"/>
  <c r="AJ90" i="1"/>
  <c r="AJ202" i="1"/>
  <c r="AJ203" i="1" s="1"/>
  <c r="G12" i="21"/>
  <c r="P88" i="1"/>
  <c r="P90" i="1" s="1"/>
  <c r="L42" i="17"/>
  <c r="P27" i="23"/>
  <c r="L16" i="17"/>
  <c r="N42" i="17"/>
  <c r="Z65" i="17"/>
  <c r="F83" i="17"/>
  <c r="O27" i="23"/>
  <c r="AL88" i="1"/>
  <c r="AL90" i="1" s="1"/>
  <c r="L49" i="17"/>
  <c r="E56" i="20"/>
  <c r="J54" i="17"/>
  <c r="J83" i="17" s="1"/>
  <c r="H83" i="17"/>
  <c r="AD199" i="1"/>
  <c r="Z79" i="17"/>
  <c r="Z81" i="17"/>
  <c r="AH215" i="1" l="1"/>
  <c r="AR22" i="1"/>
  <c r="V22" i="1"/>
  <c r="R17" i="17" s="1"/>
  <c r="N206" i="1"/>
  <c r="J86" i="17" s="1"/>
  <c r="AP86" i="1"/>
  <c r="AR83" i="1"/>
  <c r="V83" i="1"/>
  <c r="R51" i="17" s="1"/>
  <c r="R88" i="1"/>
  <c r="R202" i="1" s="1"/>
  <c r="R203" i="1" s="1"/>
  <c r="AR85" i="1"/>
  <c r="V86" i="1"/>
  <c r="R52" i="17" s="1"/>
  <c r="P36" i="17"/>
  <c r="V46" i="1"/>
  <c r="V81" i="1" s="1"/>
  <c r="CL36" i="1"/>
  <c r="CJ36" i="1"/>
  <c r="V36" i="1"/>
  <c r="V76" i="1" s="1"/>
  <c r="AR36" i="1"/>
  <c r="AR76" i="1" s="1"/>
  <c r="AR84" i="1"/>
  <c r="AN90" i="1"/>
  <c r="N27" i="17"/>
  <c r="N39" i="17" s="1"/>
  <c r="Q27" i="23"/>
  <c r="Q45" i="23" s="1"/>
  <c r="P75" i="23" s="1"/>
  <c r="P90" i="23" s="1"/>
  <c r="AP18" i="17"/>
  <c r="X82" i="1"/>
  <c r="AR82" i="1"/>
  <c r="X34" i="1"/>
  <c r="AT34" i="1"/>
  <c r="AT72" i="1"/>
  <c r="CL60" i="1"/>
  <c r="AR86" i="1"/>
  <c r="X42" i="1"/>
  <c r="AT42" i="1"/>
  <c r="AR22" i="17"/>
  <c r="AT26" i="1"/>
  <c r="AT71" i="1" s="1"/>
  <c r="CL44" i="1"/>
  <c r="CJ44" i="1"/>
  <c r="CN26" i="1"/>
  <c r="CP26" i="1"/>
  <c r="CR26" i="1" s="1"/>
  <c r="CL46" i="1"/>
  <c r="CJ46" i="1"/>
  <c r="CJ22" i="1"/>
  <c r="X22" i="1" s="1"/>
  <c r="CL22" i="1"/>
  <c r="CP38" i="1"/>
  <c r="CR38" i="1" s="1"/>
  <c r="CN38" i="1"/>
  <c r="AV24" i="17"/>
  <c r="AX28" i="1"/>
  <c r="AX72" i="1" s="1"/>
  <c r="AR32" i="1"/>
  <c r="AR74" i="1" s="1"/>
  <c r="AR44" i="1"/>
  <c r="AR80" i="1" s="1"/>
  <c r="CP34" i="1"/>
  <c r="CR34" i="1" s="1"/>
  <c r="CN34" i="1"/>
  <c r="AT24" i="1"/>
  <c r="AR20" i="17"/>
  <c r="CN24" i="1"/>
  <c r="CP24" i="1"/>
  <c r="CR24" i="1" s="1"/>
  <c r="CL32" i="1"/>
  <c r="CJ32" i="1"/>
  <c r="T23" i="17"/>
  <c r="X72" i="1"/>
  <c r="CP42" i="1"/>
  <c r="CR42" i="1" s="1"/>
  <c r="CN42" i="1"/>
  <c r="X38" i="1"/>
  <c r="AT38" i="1"/>
  <c r="AT24" i="17"/>
  <c r="AV28" i="1"/>
  <c r="AV72" i="1" s="1"/>
  <c r="N49" i="17"/>
  <c r="N54" i="17" s="1"/>
  <c r="CS62" i="1"/>
  <c r="CS28" i="1"/>
  <c r="T69" i="1"/>
  <c r="P42" i="17" s="1"/>
  <c r="P17" i="17"/>
  <c r="P16" i="17" s="1"/>
  <c r="T66" i="1"/>
  <c r="CP64" i="1"/>
  <c r="AP85" i="1"/>
  <c r="T80" i="1"/>
  <c r="P34" i="17"/>
  <c r="T85" i="1"/>
  <c r="CP30" i="1"/>
  <c r="CR30" i="1" s="1"/>
  <c r="CN30" i="1"/>
  <c r="CP40" i="1"/>
  <c r="CR40" i="1" s="1"/>
  <c r="CN40" i="1"/>
  <c r="V74" i="1"/>
  <c r="AP74" i="1"/>
  <c r="AR69" i="1"/>
  <c r="AP69" i="1"/>
  <c r="AP66" i="1"/>
  <c r="AP83" i="1"/>
  <c r="V80" i="1"/>
  <c r="P37" i="17"/>
  <c r="T86" i="1"/>
  <c r="P52" i="17" s="1"/>
  <c r="AT30" i="1"/>
  <c r="AR26" i="17"/>
  <c r="AP80" i="1"/>
  <c r="AT40" i="1"/>
  <c r="X40" i="1"/>
  <c r="T83" i="1"/>
  <c r="R25" i="17"/>
  <c r="V73" i="1"/>
  <c r="P29" i="17"/>
  <c r="T74" i="1"/>
  <c r="AL202" i="1"/>
  <c r="L54" i="17"/>
  <c r="J205" i="1"/>
  <c r="F86" i="17"/>
  <c r="J208" i="1"/>
  <c r="AJ206" i="1"/>
  <c r="AJ205" i="1" s="1"/>
  <c r="L39" i="17"/>
  <c r="N208" i="1"/>
  <c r="AN202" i="1"/>
  <c r="AN203" i="1" s="1"/>
  <c r="P202" i="1"/>
  <c r="P203" i="1" s="1"/>
  <c r="N205" i="1" l="1"/>
  <c r="R206" i="1"/>
  <c r="AL206" i="1"/>
  <c r="AL208" i="1" s="1"/>
  <c r="AL210" i="1" s="1"/>
  <c r="AL215" i="1" s="1"/>
  <c r="AL203" i="1"/>
  <c r="P206" i="1"/>
  <c r="P205" i="1" s="1"/>
  <c r="R37" i="17"/>
  <c r="V69" i="1"/>
  <c r="R42" i="17" s="1"/>
  <c r="R36" i="17"/>
  <c r="R90" i="1"/>
  <c r="R49" i="17"/>
  <c r="V66" i="1"/>
  <c r="R34" i="17"/>
  <c r="R29" i="17"/>
  <c r="CP36" i="1"/>
  <c r="CR36" i="1" s="1"/>
  <c r="CN36" i="1"/>
  <c r="CS64" i="1"/>
  <c r="X36" i="1"/>
  <c r="X76" i="1" s="1"/>
  <c r="AT36" i="1"/>
  <c r="AT76" i="1" s="1"/>
  <c r="R44" i="17"/>
  <c r="N83" i="17"/>
  <c r="AX24" i="17"/>
  <c r="CS34" i="1"/>
  <c r="CS24" i="1"/>
  <c r="Z42" i="1"/>
  <c r="Z79" i="1" s="1"/>
  <c r="AV42" i="1"/>
  <c r="AV79" i="1" s="1"/>
  <c r="X46" i="1"/>
  <c r="AT46" i="1"/>
  <c r="X79" i="1"/>
  <c r="AX42" i="1"/>
  <c r="AX79" i="1" s="1"/>
  <c r="AB42" i="1"/>
  <c r="AB79" i="1" s="1"/>
  <c r="X32" i="1"/>
  <c r="AT32" i="1"/>
  <c r="AT70" i="1"/>
  <c r="CP46" i="1"/>
  <c r="CR46" i="1" s="1"/>
  <c r="CN46" i="1"/>
  <c r="T21" i="17"/>
  <c r="X71" i="1"/>
  <c r="AV82" i="1"/>
  <c r="CN32" i="1"/>
  <c r="CP32" i="1"/>
  <c r="CR32" i="1" s="1"/>
  <c r="AX26" i="1"/>
  <c r="AX71" i="1" s="1"/>
  <c r="AV22" i="17"/>
  <c r="AV20" i="17"/>
  <c r="AX24" i="1"/>
  <c r="AX70" i="1" s="1"/>
  <c r="CP22" i="1"/>
  <c r="CR22" i="1" s="1"/>
  <c r="AB22" i="1" s="1"/>
  <c r="CN22" i="1"/>
  <c r="Z22" i="1" s="1"/>
  <c r="AD22" i="1" s="1"/>
  <c r="X86" i="1"/>
  <c r="T52" i="17" s="1"/>
  <c r="AT22" i="1"/>
  <c r="AR18" i="17"/>
  <c r="AR66" i="1"/>
  <c r="AB34" i="1"/>
  <c r="AB75" i="1" s="1"/>
  <c r="AX34" i="1"/>
  <c r="AX75" i="1" s="1"/>
  <c r="AR88" i="1"/>
  <c r="AT77" i="1"/>
  <c r="CS42" i="1"/>
  <c r="X84" i="1"/>
  <c r="AT84" i="1"/>
  <c r="AX38" i="1"/>
  <c r="AX77" i="1" s="1"/>
  <c r="AB38" i="1"/>
  <c r="AB77" i="1" s="1"/>
  <c r="CP44" i="1"/>
  <c r="CR44" i="1" s="1"/>
  <c r="CN44" i="1"/>
  <c r="X75" i="1"/>
  <c r="V23" i="17"/>
  <c r="Z72" i="1"/>
  <c r="X70" i="1"/>
  <c r="T19" i="17"/>
  <c r="CP60" i="1"/>
  <c r="AT82" i="1"/>
  <c r="AV26" i="1"/>
  <c r="AV71" i="1" s="1"/>
  <c r="AT22" i="17"/>
  <c r="CS26" i="1"/>
  <c r="AV24" i="1"/>
  <c r="AV70" i="1" s="1"/>
  <c r="AT20" i="17"/>
  <c r="AV34" i="1"/>
  <c r="AV75" i="1" s="1"/>
  <c r="Z34" i="1"/>
  <c r="Z75" i="1" s="1"/>
  <c r="AB72" i="1"/>
  <c r="X23" i="17"/>
  <c r="AZ28" i="1"/>
  <c r="AT83" i="1"/>
  <c r="CS38" i="1"/>
  <c r="AZ72" i="1"/>
  <c r="CS40" i="1"/>
  <c r="X77" i="1"/>
  <c r="AV38" i="1"/>
  <c r="AV77" i="1" s="1"/>
  <c r="Z38" i="1"/>
  <c r="Z77" i="1" s="1"/>
  <c r="AT44" i="1"/>
  <c r="X44" i="1"/>
  <c r="AT79" i="1"/>
  <c r="AT75" i="1"/>
  <c r="T88" i="1"/>
  <c r="P27" i="17"/>
  <c r="P39" i="17" s="1"/>
  <c r="AT26" i="17"/>
  <c r="AV30" i="1"/>
  <c r="P49" i="17"/>
  <c r="P51" i="17"/>
  <c r="CS30" i="1"/>
  <c r="AT73" i="1"/>
  <c r="AP88" i="1"/>
  <c r="AP90" i="1" s="1"/>
  <c r="X78" i="1"/>
  <c r="AX40" i="1"/>
  <c r="AX78" i="1" s="1"/>
  <c r="AB40" i="1"/>
  <c r="P44" i="17"/>
  <c r="AT78" i="1"/>
  <c r="AX30" i="1"/>
  <c r="AV26" i="17"/>
  <c r="R16" i="17"/>
  <c r="X73" i="1"/>
  <c r="T25" i="17"/>
  <c r="Z40" i="1"/>
  <c r="AV40" i="1"/>
  <c r="AV78" i="1" s="1"/>
  <c r="AZ202" i="1"/>
  <c r="AZ203" i="1" s="1"/>
  <c r="G14" i="21"/>
  <c r="J210" i="1"/>
  <c r="F85" i="17"/>
  <c r="F89" i="17" s="1"/>
  <c r="AJ208" i="1"/>
  <c r="AN206" i="1"/>
  <c r="AN208" i="1" s="1"/>
  <c r="AN210" i="1" s="1"/>
  <c r="L205" i="1"/>
  <c r="H86" i="17"/>
  <c r="L208" i="1"/>
  <c r="J85" i="17"/>
  <c r="J89" i="17" s="1"/>
  <c r="N210" i="1"/>
  <c r="N215" i="1" s="1"/>
  <c r="L83" i="17"/>
  <c r="AL205" i="1" l="1"/>
  <c r="P208" i="1"/>
  <c r="L86" i="17"/>
  <c r="L91" i="17"/>
  <c r="AX82" i="1"/>
  <c r="AZ82" i="1" s="1"/>
  <c r="AT86" i="1"/>
  <c r="V88" i="1"/>
  <c r="V90" i="1" s="1"/>
  <c r="CS22" i="1"/>
  <c r="R27" i="17"/>
  <c r="R39" i="17" s="1"/>
  <c r="AP202" i="1"/>
  <c r="AP206" i="1" s="1"/>
  <c r="AP208" i="1" s="1"/>
  <c r="AP210" i="1" s="1"/>
  <c r="AR202" i="1"/>
  <c r="AR206" i="1" s="1"/>
  <c r="AR208" i="1" s="1"/>
  <c r="AR210" i="1" s="1"/>
  <c r="AR215" i="1" s="1"/>
  <c r="AR90" i="1"/>
  <c r="AV36" i="1"/>
  <c r="Z36" i="1"/>
  <c r="CS32" i="1"/>
  <c r="AX20" i="17"/>
  <c r="Z23" i="17"/>
  <c r="AZ38" i="1"/>
  <c r="CS36" i="1"/>
  <c r="AX36" i="1"/>
  <c r="AX76" i="1" s="1"/>
  <c r="AB36" i="1"/>
  <c r="AB76" i="1" s="1"/>
  <c r="T37" i="17"/>
  <c r="AZ42" i="1"/>
  <c r="AX22" i="17"/>
  <c r="AX26" i="17"/>
  <c r="AT66" i="1"/>
  <c r="AD72" i="1"/>
  <c r="Z71" i="1"/>
  <c r="V21" i="17"/>
  <c r="V37" i="17"/>
  <c r="X74" i="1"/>
  <c r="T44" i="17" s="1"/>
  <c r="AT81" i="1"/>
  <c r="X19" i="17"/>
  <c r="AB70" i="1"/>
  <c r="AZ26" i="1"/>
  <c r="V19" i="17"/>
  <c r="Z70" i="1"/>
  <c r="T29" i="17"/>
  <c r="AT80" i="1"/>
  <c r="AZ79" i="1"/>
  <c r="AD77" i="1"/>
  <c r="AX46" i="1"/>
  <c r="AX81" i="1" s="1"/>
  <c r="AB46" i="1"/>
  <c r="AB81" i="1" s="1"/>
  <c r="AB85" i="1"/>
  <c r="AX85" i="1"/>
  <c r="AZ24" i="1"/>
  <c r="AD42" i="1"/>
  <c r="P54" i="17"/>
  <c r="P83" i="17" s="1"/>
  <c r="AZ30" i="1"/>
  <c r="AZ34" i="1"/>
  <c r="Z84" i="1"/>
  <c r="AV84" i="1"/>
  <c r="AD34" i="1"/>
  <c r="Z85" i="1"/>
  <c r="AT18" i="17"/>
  <c r="AV22" i="1"/>
  <c r="AV69" i="1" s="1"/>
  <c r="AZ70" i="1"/>
  <c r="AD79" i="1"/>
  <c r="X85" i="1"/>
  <c r="AV44" i="1"/>
  <c r="AV80" i="1" s="1"/>
  <c r="Z44" i="1"/>
  <c r="CS44" i="1"/>
  <c r="AX44" i="1"/>
  <c r="AX80" i="1" s="1"/>
  <c r="AB44" i="1"/>
  <c r="X81" i="1"/>
  <c r="X66" i="1"/>
  <c r="T34" i="17"/>
  <c r="X80" i="1"/>
  <c r="AZ71" i="1"/>
  <c r="X69" i="1"/>
  <c r="T42" i="17" s="1"/>
  <c r="T17" i="17"/>
  <c r="AB71" i="1"/>
  <c r="X21" i="17"/>
  <c r="AD38" i="1"/>
  <c r="AZ77" i="1"/>
  <c r="AT69" i="1"/>
  <c r="AB32" i="1"/>
  <c r="AB74" i="1" s="1"/>
  <c r="AX32" i="1"/>
  <c r="AX74" i="1" s="1"/>
  <c r="AV46" i="1"/>
  <c r="AV81" i="1" s="1"/>
  <c r="Z46" i="1"/>
  <c r="Z81" i="1" s="1"/>
  <c r="AX83" i="1"/>
  <c r="AV32" i="1"/>
  <c r="AV74" i="1" s="1"/>
  <c r="Z32" i="1"/>
  <c r="Z74" i="1" s="1"/>
  <c r="AX84" i="1"/>
  <c r="X83" i="1"/>
  <c r="AV83" i="1"/>
  <c r="AD40" i="1"/>
  <c r="AZ75" i="1"/>
  <c r="AT85" i="1"/>
  <c r="AX86" i="1"/>
  <c r="AB86" i="1"/>
  <c r="X52" i="17" s="1"/>
  <c r="AD75" i="1"/>
  <c r="AX22" i="1"/>
  <c r="AX69" i="1" s="1"/>
  <c r="AV18" i="17"/>
  <c r="AB82" i="1"/>
  <c r="Z82" i="1"/>
  <c r="AT74" i="1"/>
  <c r="CS46" i="1"/>
  <c r="T36" i="17"/>
  <c r="R54" i="17"/>
  <c r="AZ40" i="1"/>
  <c r="AZ78" i="1"/>
  <c r="T202" i="1"/>
  <c r="T90" i="1"/>
  <c r="Z78" i="1"/>
  <c r="AB73" i="1"/>
  <c r="X25" i="17"/>
  <c r="AB78" i="1"/>
  <c r="AV73" i="1"/>
  <c r="AX73" i="1"/>
  <c r="V25" i="17"/>
  <c r="Z73" i="1"/>
  <c r="AN205" i="1"/>
  <c r="H85" i="17"/>
  <c r="H89" i="17" s="1"/>
  <c r="L210" i="1"/>
  <c r="L215" i="1" s="1"/>
  <c r="P210" i="1"/>
  <c r="P215" i="1" s="1"/>
  <c r="L85" i="17"/>
  <c r="L89" i="17" s="1"/>
  <c r="AJ210" i="1"/>
  <c r="R205" i="1"/>
  <c r="N86" i="17"/>
  <c r="R208" i="1"/>
  <c r="N91" i="17"/>
  <c r="AN215" i="1"/>
  <c r="J215" i="1"/>
  <c r="G16" i="21"/>
  <c r="V202" i="1" l="1"/>
  <c r="V206" i="1" s="1"/>
  <c r="R86" i="17" s="1"/>
  <c r="AD71" i="1"/>
  <c r="X37" i="17"/>
  <c r="Z37" i="17" s="1"/>
  <c r="AV85" i="1"/>
  <c r="AZ85" i="1" s="1"/>
  <c r="AT88" i="1"/>
  <c r="AT90" i="1" s="1"/>
  <c r="Z21" i="17"/>
  <c r="AX18" i="17"/>
  <c r="AD85" i="1"/>
  <c r="V29" i="17"/>
  <c r="AB84" i="1"/>
  <c r="AD84" i="1" s="1"/>
  <c r="AR205" i="1"/>
  <c r="Z76" i="1"/>
  <c r="AD76" i="1" s="1"/>
  <c r="AD36" i="1"/>
  <c r="AZ36" i="1"/>
  <c r="AV76" i="1"/>
  <c r="AZ76" i="1" s="1"/>
  <c r="AZ69" i="1"/>
  <c r="R91" i="17"/>
  <c r="AZ44" i="1"/>
  <c r="Z86" i="1"/>
  <c r="V52" i="17" s="1"/>
  <c r="Z52" i="17" s="1"/>
  <c r="AZ80" i="1"/>
  <c r="Z19" i="17"/>
  <c r="AD70" i="1"/>
  <c r="AP205" i="1"/>
  <c r="AZ22" i="1"/>
  <c r="T27" i="17"/>
  <c r="AZ83" i="1"/>
  <c r="Z66" i="1"/>
  <c r="X36" i="17"/>
  <c r="AV86" i="1"/>
  <c r="AZ86" i="1" s="1"/>
  <c r="AZ84" i="1"/>
  <c r="X17" i="17"/>
  <c r="X16" i="17" s="1"/>
  <c r="AB69" i="1"/>
  <c r="X42" i="17" s="1"/>
  <c r="X29" i="17"/>
  <c r="T51" i="17"/>
  <c r="X44" i="17"/>
  <c r="AZ32" i="1"/>
  <c r="AD81" i="1"/>
  <c r="Z69" i="1"/>
  <c r="V42" i="17" s="1"/>
  <c r="V17" i="17"/>
  <c r="V16" i="17" s="1"/>
  <c r="AZ74" i="1"/>
  <c r="V34" i="17"/>
  <c r="Z80" i="1"/>
  <c r="V49" i="17" s="1"/>
  <c r="AD44" i="1"/>
  <c r="AB83" i="1"/>
  <c r="AZ81" i="1"/>
  <c r="V36" i="17"/>
  <c r="T49" i="17"/>
  <c r="AB80" i="1"/>
  <c r="X49" i="17" s="1"/>
  <c r="X34" i="17"/>
  <c r="AD32" i="1"/>
  <c r="AD46" i="1"/>
  <c r="AX66" i="1"/>
  <c r="T16" i="17"/>
  <c r="AX88" i="1"/>
  <c r="AB66" i="1"/>
  <c r="AZ46" i="1"/>
  <c r="AV66" i="1"/>
  <c r="AD82" i="1"/>
  <c r="X88" i="1"/>
  <c r="X202" i="1" s="1"/>
  <c r="X206" i="1" s="1"/>
  <c r="Z83" i="1"/>
  <c r="V51" i="17" s="1"/>
  <c r="AD74" i="1"/>
  <c r="P91" i="17"/>
  <c r="AP215" i="1"/>
  <c r="T206" i="1"/>
  <c r="AZ73" i="1"/>
  <c r="AD78" i="1"/>
  <c r="R83" i="17"/>
  <c r="Z25" i="17"/>
  <c r="AD73" i="1"/>
  <c r="N85" i="17"/>
  <c r="R210" i="1"/>
  <c r="AJ215" i="1"/>
  <c r="J91" i="17"/>
  <c r="T205" i="1" l="1"/>
  <c r="V205" i="1"/>
  <c r="V208" i="1"/>
  <c r="V210" i="1" s="1"/>
  <c r="V215" i="1" s="1"/>
  <c r="V44" i="17"/>
  <c r="V54" i="17" s="1"/>
  <c r="AD66" i="1"/>
  <c r="V27" i="17"/>
  <c r="V39" i="17" s="1"/>
  <c r="Z29" i="17"/>
  <c r="AT202" i="1"/>
  <c r="AT206" i="1" s="1"/>
  <c r="AD86" i="1"/>
  <c r="T39" i="17"/>
  <c r="Z36" i="17"/>
  <c r="AX90" i="1"/>
  <c r="AV88" i="1"/>
  <c r="AV202" i="1" s="1"/>
  <c r="AV206" i="1" s="1"/>
  <c r="AV205" i="1" s="1"/>
  <c r="Z17" i="17"/>
  <c r="AD83" i="1"/>
  <c r="Z34" i="17"/>
  <c r="X205" i="1"/>
  <c r="X208" i="1"/>
  <c r="T86" i="17"/>
  <c r="AX202" i="1"/>
  <c r="AZ66" i="1"/>
  <c r="Z88" i="1"/>
  <c r="Z90" i="1" s="1"/>
  <c r="AD69" i="1"/>
  <c r="AB88" i="1"/>
  <c r="Z16" i="17"/>
  <c r="X90" i="1"/>
  <c r="X51" i="17"/>
  <c r="X54" i="17" s="1"/>
  <c r="AD80" i="1"/>
  <c r="Z49" i="17"/>
  <c r="T54" i="17"/>
  <c r="X27" i="17"/>
  <c r="X39" i="17" s="1"/>
  <c r="P86" i="17"/>
  <c r="T208" i="1"/>
  <c r="Z42" i="17"/>
  <c r="R215" i="1"/>
  <c r="N89" i="17"/>
  <c r="R85" i="17" l="1"/>
  <c r="R89" i="17" s="1"/>
  <c r="Z44" i="17"/>
  <c r="V83" i="17"/>
  <c r="Z39" i="17"/>
  <c r="T83" i="17"/>
  <c r="AZ88" i="1"/>
  <c r="Z202" i="1"/>
  <c r="Z206" i="1" s="1"/>
  <c r="AV208" i="1"/>
  <c r="AV210" i="1" s="1"/>
  <c r="AV215" i="1" s="1"/>
  <c r="X83" i="17"/>
  <c r="AV90" i="1"/>
  <c r="AZ90" i="1" s="1"/>
  <c r="AD88" i="1"/>
  <c r="Z51" i="17"/>
  <c r="AX206" i="1"/>
  <c r="AX208" i="1" s="1"/>
  <c r="AX210" i="1" s="1"/>
  <c r="X210" i="1"/>
  <c r="X215" i="1" s="1"/>
  <c r="T85" i="17"/>
  <c r="Z54" i="17"/>
  <c r="Z27" i="17"/>
  <c r="AB90" i="1"/>
  <c r="AD90" i="1" s="1"/>
  <c r="AB202" i="1"/>
  <c r="AT208" i="1"/>
  <c r="P85" i="17"/>
  <c r="P89" i="17" s="1"/>
  <c r="T210" i="1"/>
  <c r="T215" i="1" s="1"/>
  <c r="AT205" i="1"/>
  <c r="V91" i="17" l="1"/>
  <c r="AD202" i="1"/>
  <c r="AD203" i="1" s="1"/>
  <c r="T89" i="17"/>
  <c r="Z83" i="17"/>
  <c r="AZ206" i="1"/>
  <c r="AZ205" i="1" s="1"/>
  <c r="AX205" i="1"/>
  <c r="X91" i="17"/>
  <c r="AX215" i="1"/>
  <c r="AB206" i="1"/>
  <c r="AB205" i="1" s="1"/>
  <c r="V86" i="17"/>
  <c r="Z208" i="1"/>
  <c r="AT210" i="1"/>
  <c r="AZ208" i="1"/>
  <c r="Z205" i="1"/>
  <c r="AC83" i="17" l="1"/>
  <c r="AD206" i="1"/>
  <c r="AD205" i="1" s="1"/>
  <c r="J12" i="21"/>
  <c r="X86" i="17"/>
  <c r="Z86" i="17" s="1"/>
  <c r="AB208" i="1"/>
  <c r="AD208" i="1" s="1"/>
  <c r="V85" i="17"/>
  <c r="Z210" i="1"/>
  <c r="AT215" i="1"/>
  <c r="AZ215" i="1" s="1"/>
  <c r="G218" i="1" s="1"/>
  <c r="T91" i="17"/>
  <c r="Z91" i="17" s="1"/>
  <c r="AZ210" i="1"/>
  <c r="X85" i="17" l="1"/>
  <c r="X89" i="17" s="1"/>
  <c r="AB210" i="1"/>
  <c r="AB215" i="1" s="1"/>
  <c r="J18" i="21"/>
  <c r="AC91" i="17"/>
  <c r="O6" i="23"/>
  <c r="Z215" i="1"/>
  <c r="J14" i="21"/>
  <c r="AC85" i="17"/>
  <c r="V89" i="17"/>
  <c r="AD210" i="1" l="1"/>
  <c r="J16" i="21" s="1"/>
  <c r="AD215" i="1"/>
  <c r="G217" i="1" s="1"/>
  <c r="G219" i="1" s="1"/>
  <c r="Z85" i="17"/>
  <c r="Z89" i="17"/>
  <c r="BD66" i="1" l="1"/>
  <c r="AC89" i="17"/>
</calcChain>
</file>

<file path=xl/sharedStrings.xml><?xml version="1.0" encoding="utf-8"?>
<sst xmlns="http://schemas.openxmlformats.org/spreadsheetml/2006/main" count="944" uniqueCount="500">
  <si>
    <t>Year 1</t>
  </si>
  <si>
    <t>Year 2</t>
  </si>
  <si>
    <t>A.</t>
  </si>
  <si>
    <t>Salaries and Wages</t>
  </si>
  <si>
    <t>Total Salaries and Wages</t>
  </si>
  <si>
    <t>B.</t>
  </si>
  <si>
    <t>Fringe Benefits</t>
  </si>
  <si>
    <t>Total Fringe Benefits</t>
  </si>
  <si>
    <t>D.</t>
  </si>
  <si>
    <t>E.</t>
  </si>
  <si>
    <t>Travel</t>
  </si>
  <si>
    <t>F.</t>
  </si>
  <si>
    <t>Other Direct Costs</t>
  </si>
  <si>
    <t>Total Other Direct Costs</t>
  </si>
  <si>
    <t>G.</t>
  </si>
  <si>
    <t>Total Direct Costs</t>
  </si>
  <si>
    <t>H.</t>
  </si>
  <si>
    <t>Total Costs</t>
  </si>
  <si>
    <t>Duration:</t>
  </si>
  <si>
    <t>C.</t>
  </si>
  <si>
    <t xml:space="preserve">Title: </t>
  </si>
  <si>
    <t>Total Travel</t>
  </si>
  <si>
    <t>Year 3</t>
  </si>
  <si>
    <t xml:space="preserve">CU Proposal No. </t>
  </si>
  <si>
    <t>Total</t>
  </si>
  <si>
    <t>Other Costs</t>
  </si>
  <si>
    <t>Publication Costs</t>
  </si>
  <si>
    <t>Consultant Services</t>
  </si>
  <si>
    <t>Budget Category</t>
  </si>
  <si>
    <t>International</t>
  </si>
  <si>
    <t>Participant Support</t>
  </si>
  <si>
    <t>Year 4</t>
  </si>
  <si>
    <t>Hourly Personnel</t>
  </si>
  <si>
    <t>Rate</t>
  </si>
  <si>
    <t>Domestic</t>
  </si>
  <si>
    <t>Stipend</t>
  </si>
  <si>
    <t>Subsistence</t>
  </si>
  <si>
    <t>Other</t>
  </si>
  <si>
    <t>Item 1</t>
  </si>
  <si>
    <t>Item 2</t>
  </si>
  <si>
    <t>Item 3</t>
  </si>
  <si>
    <t>I.</t>
  </si>
  <si>
    <t>Subcontracts</t>
  </si>
  <si>
    <t>Year 5</t>
  </si>
  <si>
    <t>Total Participant Support</t>
  </si>
  <si>
    <t>Materials and Supplies</t>
  </si>
  <si>
    <t>Subtotal Domestic Travel</t>
  </si>
  <si>
    <t>Subtotal International Travel</t>
  </si>
  <si>
    <t>Mileage</t>
  </si>
  <si>
    <t>Item 4</t>
  </si>
  <si>
    <t>Principal Investigator:</t>
  </si>
  <si>
    <t xml:space="preserve">Co-Principal Investigator(s):  </t>
  </si>
  <si>
    <t>Graduate Research Assistant</t>
  </si>
  <si>
    <t>Undergraduate Research Assistant</t>
  </si>
  <si>
    <t>Inflation Rates</t>
  </si>
  <si>
    <t>Tuition</t>
  </si>
  <si>
    <t>Cost Share</t>
  </si>
  <si>
    <t>Contributor</t>
  </si>
  <si>
    <t>Salaries</t>
  </si>
  <si>
    <t>Subcontractor 3 [provide name]</t>
  </si>
  <si>
    <t>Total Salaries and Wages and Fringe Benefits</t>
  </si>
  <si>
    <t>Base Salary</t>
  </si>
  <si>
    <t>AY/CY/Sum.</t>
  </si>
  <si>
    <t>%</t>
  </si>
  <si>
    <t># Mos.</t>
  </si>
  <si>
    <t>P-Mos.</t>
  </si>
  <si>
    <t>Appt. Mos.</t>
  </si>
  <si>
    <t>Period of Performance:</t>
  </si>
  <si>
    <t>Capital Equipment</t>
  </si>
  <si>
    <t>No. Days</t>
  </si>
  <si>
    <t>Cost</t>
  </si>
  <si>
    <t>Description</t>
  </si>
  <si>
    <t>Airfare</t>
  </si>
  <si>
    <t>No. Participants</t>
  </si>
  <si>
    <t>Yr 1</t>
  </si>
  <si>
    <t>Yr 2</t>
  </si>
  <si>
    <t>Yr 3</t>
  </si>
  <si>
    <t>Yr 4</t>
  </si>
  <si>
    <t>Yr 5</t>
  </si>
  <si>
    <t>Person Mos.</t>
  </si>
  <si>
    <t>Lodging</t>
  </si>
  <si>
    <t>Ground Transportation</t>
  </si>
  <si>
    <t>CY</t>
  </si>
  <si>
    <t>AY</t>
  </si>
  <si>
    <t>Summer</t>
  </si>
  <si>
    <t>MTDC</t>
  </si>
  <si>
    <t>TDC</t>
  </si>
  <si>
    <t xml:space="preserve">Proposal Analyst: </t>
  </si>
  <si>
    <t>Research Associate:</t>
  </si>
  <si>
    <t>Administrative Assistant:</t>
  </si>
  <si>
    <t>Name of consultant</t>
  </si>
  <si>
    <t>Subcontractor 1 [provide name]</t>
  </si>
  <si>
    <t>Subcontractor 2 [provide name]</t>
  </si>
  <si>
    <t>MRI Scanning Costs (Account Code 535120)</t>
  </si>
  <si>
    <t>INDIRECT COST ADDENDUM FORM</t>
  </si>
  <si>
    <t>Sponsor Name:</t>
  </si>
  <si>
    <t>Proposal Title:</t>
  </si>
  <si>
    <t>UCB Proposal No.:</t>
  </si>
  <si>
    <t>Date</t>
  </si>
  <si>
    <t>An IDC rate lower than the federally negotiated rate is being applied to this project based on the following:</t>
  </si>
  <si>
    <t>By law or regulation a governmental agency limits the amount or rate of indirect costs.</t>
  </si>
  <si>
    <t>A corporation is a prime contractor under a federal award, and the IDC rate is limited by the governmental agency.</t>
  </si>
  <si>
    <t>AY Salary for the principal investigator/project director</t>
  </si>
  <si>
    <t>Salary and/or tuition for graduate research assistants</t>
  </si>
  <si>
    <t>Salary for technical support staff</t>
  </si>
  <si>
    <t>Departmental administrative support</t>
  </si>
  <si>
    <t>Equipment, supplies, telephone equipment</t>
  </si>
  <si>
    <t>Travel or other costs</t>
  </si>
  <si>
    <t>Direct Cost</t>
  </si>
  <si>
    <t>Indirect Cost</t>
  </si>
  <si>
    <t>Cost Sharing</t>
  </si>
  <si>
    <t>1st Budget Period</t>
  </si>
  <si>
    <t>Total Budget Period</t>
  </si>
  <si>
    <t>A non-profit organization has a formal written policy, consistently applied to all such awards, limiting indirect costs.</t>
  </si>
  <si>
    <r>
      <rPr>
        <b/>
        <sz val="11"/>
        <color theme="1"/>
        <rFont val="Calibri"/>
        <family val="2"/>
        <scheme val="minor"/>
      </rPr>
      <t xml:space="preserve">Additional Justification: </t>
    </r>
    <r>
      <rPr>
        <sz val="11"/>
        <color theme="1"/>
        <rFont val="Calibri"/>
        <family val="2"/>
        <scheme val="minor"/>
      </rPr>
      <t>The following aspects of the project describe the benefit to the campus of such a project and the ways that the “loss” of indirect cost is offset by those benefits (e.g., AY salary recovery, GRA salary and tuition support, seed money for possible future funding, departmental infrastructure costs):</t>
    </r>
  </si>
  <si>
    <t>Primary Unit:</t>
  </si>
  <si>
    <t xml:space="preserve">COST SHARE ADDENDUM </t>
  </si>
  <si>
    <t xml:space="preserve">Original Addendum            Revised Addendum  </t>
  </si>
  <si>
    <t>Date:</t>
  </si>
  <si>
    <t>Cost Share Type:</t>
  </si>
  <si>
    <t>Select type from drop down list</t>
  </si>
  <si>
    <t>Committed Cost Share:</t>
  </si>
  <si>
    <t>Commitment Type:</t>
  </si>
  <si>
    <t>Commitment Parameters:</t>
  </si>
  <si>
    <t>Voluntary Committed</t>
  </si>
  <si>
    <t>Dollar Amount</t>
  </si>
  <si>
    <t>REQUIRED SIGNATURES</t>
  </si>
  <si>
    <t>Mandatory</t>
  </si>
  <si>
    <t>Percentage</t>
  </si>
  <si>
    <t>Provide a copy of the Excel proposal budget to all signatories.</t>
  </si>
  <si>
    <t>Mandatory and Voluntary Committed</t>
  </si>
  <si>
    <t>Other (describe in Notes)</t>
  </si>
  <si>
    <r>
      <rPr>
        <b/>
        <u/>
        <sz val="9"/>
        <color theme="1"/>
        <rFont val="Calibri"/>
        <family val="2"/>
        <scheme val="minor"/>
      </rPr>
      <t>PI Certification</t>
    </r>
    <r>
      <rPr>
        <b/>
        <sz val="9"/>
        <color theme="1"/>
        <rFont val="Calibri"/>
        <family val="2"/>
        <scheme val="minor"/>
      </rPr>
      <t>: I certify that I have read and understand the UCB Cost Sharing Policy.</t>
    </r>
  </si>
  <si>
    <t>Click here to view UCB Cost Share Policy</t>
  </si>
  <si>
    <t>Principal Investigator's Signature</t>
  </si>
  <si>
    <t xml:space="preserve">Chair / Director Signature (printed name): </t>
  </si>
  <si>
    <t>CU CONTRIBUTOR SIGNATURES</t>
  </si>
  <si>
    <t>DEAN SIGNATURE:</t>
  </si>
  <si>
    <t>Dean Printed Name:</t>
  </si>
  <si>
    <t>Other 2 (specify)</t>
  </si>
  <si>
    <t>Other 3 (specify)</t>
  </si>
  <si>
    <t>GRAD SCHOOL SIGNATURE:</t>
  </si>
  <si>
    <t>Grad School Printed Name:</t>
  </si>
  <si>
    <t>Other 4 (specify)</t>
  </si>
  <si>
    <t>Other 1 (specify)</t>
  </si>
  <si>
    <t>Other 5 (specify)</t>
  </si>
  <si>
    <t>COMMITMENT SUMMARY</t>
  </si>
  <si>
    <t>&gt;SECTION 1</t>
  </si>
  <si>
    <t>$ Amount Total</t>
  </si>
  <si>
    <t>PI</t>
  </si>
  <si>
    <t>Subtotal</t>
  </si>
  <si>
    <t>&gt;SECTION 2</t>
  </si>
  <si>
    <t>Budget Item(s)</t>
  </si>
  <si>
    <t>Total Amount</t>
  </si>
  <si>
    <t>Dean</t>
  </si>
  <si>
    <t>Fund 10</t>
  </si>
  <si>
    <t>Graduate School</t>
  </si>
  <si>
    <t>&gt;SECTION 3</t>
  </si>
  <si>
    <t>&gt;SECTION 4</t>
  </si>
  <si>
    <t xml:space="preserve">UCB In-kind </t>
  </si>
  <si>
    <t>3rd Party In-kind</t>
  </si>
  <si>
    <t>In-Kind Subtotal</t>
  </si>
  <si>
    <t>&gt;SECTION 5</t>
  </si>
  <si>
    <t>Subcontractor Cost Sharing</t>
  </si>
  <si>
    <t>3rd Party Cash Contributions</t>
  </si>
  <si>
    <t>External Subtotal</t>
  </si>
  <si>
    <t>TOTAL COMMITTED COST SHARE</t>
  </si>
  <si>
    <t>Proposal Number:</t>
  </si>
  <si>
    <t>IN-KIND COST SHARING WORKSHEET</t>
  </si>
  <si>
    <t>Additional information regarding valuation is available in section 200.306 of 2 CFR Part 200 Uniform Guidance:</t>
  </si>
  <si>
    <t>http://www.gpo.gov/fdsys/pkg/FR-2013-12-26/pdf/2013-30465.pdf</t>
  </si>
  <si>
    <t>CU Boulder In-Kind</t>
  </si>
  <si>
    <t>Name of Contributor</t>
  </si>
  <si>
    <t>Budget Item/Description of Contribution</t>
  </si>
  <si>
    <t>Amount</t>
  </si>
  <si>
    <t>Third Party In-Kind</t>
  </si>
  <si>
    <t>In-Kind Definitions:</t>
  </si>
  <si>
    <t xml:space="preserve">       Supplies/property donated by UCB</t>
  </si>
  <si>
    <t>Must be allowable &amp; chargeable within CU systems</t>
  </si>
  <si>
    <t xml:space="preserve">       Supplies/property donated by outside party</t>
  </si>
  <si>
    <t>Must provide documentation  by donor</t>
  </si>
  <si>
    <t xml:space="preserve">       Contributed services not paid by university</t>
  </si>
  <si>
    <t>Must provide a signed certification by end of project</t>
  </si>
  <si>
    <t>In Kind Restrictions:</t>
  </si>
  <si>
    <t xml:space="preserve">1.  Not included in expenses for other federally assisted project or paid for by another federally </t>
  </si>
  <si>
    <t xml:space="preserve">      funded award. Exception:  When authorized by Federal statute &amp; are allowable under cost principles</t>
  </si>
  <si>
    <t>2.  Volunteer services must be integral project part, rates are based on salary or similar work in labor market</t>
  </si>
  <si>
    <t>3.  Non-UCB employer furnishes services of employee, use employee regular rate</t>
  </si>
  <si>
    <t>4.  Donated supplies - value at reasonable cost not to exceed fair market value</t>
  </si>
  <si>
    <t>5.  Value of donated equipment, building, land depends on purpose of award</t>
  </si>
  <si>
    <t>a.  To assist UCB in acquisition, total value of donated property is claimed</t>
  </si>
  <si>
    <t xml:space="preserve">b.  To support activities that require usage of donated item </t>
  </si>
  <si>
    <t>6.  Documentation of donated items/services to be retain for at least 3 years beyond project end</t>
  </si>
  <si>
    <t>MANDATORY DOCUMENTATION FOR ALL IN-KIND COST SHARE</t>
  </si>
  <si>
    <t>1.  Signed letter of commitment noting all details including value of In-Kind contribution with proposal</t>
  </si>
  <si>
    <t>2.  Signed "Certification of In-Kind Cost Sharing Contributions" form by end of project and sent to SPA</t>
  </si>
  <si>
    <t>EXTERNAL COST SHARING WORKSHEET</t>
  </si>
  <si>
    <t>Subcontractor Cash Contributions</t>
  </si>
  <si>
    <t>Third Party Cash Contributions</t>
  </si>
  <si>
    <t xml:space="preserve">Guidelines:   </t>
  </si>
  <si>
    <t xml:space="preserve">1.  A signed commitment letter from the contributor is REQUIRED to be attached </t>
  </si>
  <si>
    <t xml:space="preserve">     to cost share form and must include:</t>
  </si>
  <si>
    <t>2. Subcontractor invoices must clearly indicate the cost share amount with a description.</t>
  </si>
  <si>
    <t xml:space="preserve">     Subcontractors may be required to provide back up docuemntation at any time to </t>
  </si>
  <si>
    <t xml:space="preserve">     support dollar amount. </t>
  </si>
  <si>
    <t xml:space="preserve">3. Generally, grant funds with Fund 30 speed type cannot be used to fulfill UCB </t>
  </si>
  <si>
    <t xml:space="preserve">    cost share commitments without prior approval from the agencies involved.</t>
  </si>
  <si>
    <t xml:space="preserve">      Certification available online at </t>
  </si>
  <si>
    <t>http://www.colorado.edu/controller/sites/default/files/attached-files/in-kind-fulfillment-cert_cost_share.pdf</t>
  </si>
  <si>
    <t>No. Budget Periods:</t>
  </si>
  <si>
    <t>Computers</t>
  </si>
  <si>
    <r>
      <t xml:space="preserve">• </t>
    </r>
    <r>
      <rPr>
        <sz val="11"/>
        <rFont val="Calibri"/>
        <family val="2"/>
        <scheme val="minor"/>
      </rPr>
      <t>Entity providing the contribution</t>
    </r>
  </si>
  <si>
    <r>
      <t xml:space="preserve">• </t>
    </r>
    <r>
      <rPr>
        <sz val="11"/>
        <rFont val="Calibri"/>
        <family val="2"/>
        <scheme val="minor"/>
      </rPr>
      <t>Purpose of the contribution</t>
    </r>
  </si>
  <si>
    <r>
      <t xml:space="preserve">• </t>
    </r>
    <r>
      <rPr>
        <sz val="11"/>
        <rFont val="Calibri"/>
        <family val="2"/>
        <scheme val="minor"/>
      </rPr>
      <t>When the contribution can be expected</t>
    </r>
  </si>
  <si>
    <r>
      <t xml:space="preserve">• </t>
    </r>
    <r>
      <rPr>
        <sz val="11"/>
        <rFont val="Calibri"/>
        <family val="2"/>
        <scheme val="minor"/>
      </rPr>
      <t>Amount of the contribution</t>
    </r>
  </si>
  <si>
    <t>Name</t>
  </si>
  <si>
    <t>No. Miles</t>
  </si>
  <si>
    <t>Monitors, cords, speakers, etc.</t>
  </si>
  <si>
    <t xml:space="preserve"> </t>
  </si>
  <si>
    <t>Total Capital Equipment</t>
  </si>
  <si>
    <t>OEP P/T (14.8% FB Rate)</t>
  </si>
  <si>
    <t>Facilities and Administration (F&amp;A) Costs</t>
  </si>
  <si>
    <t>A. Salaries and Wages</t>
  </si>
  <si>
    <t>B. Fringe Benefits</t>
  </si>
  <si>
    <t>C. Capital Equipment</t>
  </si>
  <si>
    <t xml:space="preserve">D. Travel  </t>
  </si>
  <si>
    <t>Senior/Key Personnel</t>
  </si>
  <si>
    <t>Other Personnel</t>
  </si>
  <si>
    <t>E. Participant Support</t>
  </si>
  <si>
    <t>F. Other Direct Costs</t>
  </si>
  <si>
    <t>Subawards</t>
  </si>
  <si>
    <t>Estimation Tab Total</t>
  </si>
  <si>
    <t>G. Total Direct Costs</t>
  </si>
  <si>
    <t>H. Total F&amp;A (Indirect) Costs</t>
  </si>
  <si>
    <t>I. Total Funds Requested</t>
  </si>
  <si>
    <t>Regular Faculty</t>
  </si>
  <si>
    <t>Hourly</t>
  </si>
  <si>
    <t>Domestic Travel</t>
  </si>
  <si>
    <t>International Travel</t>
  </si>
  <si>
    <r>
      <rPr>
        <b/>
        <sz val="14"/>
        <color theme="1"/>
        <rFont val="Arial Black"/>
        <family val="2"/>
      </rPr>
      <t>COST SHARE ADDENDUM</t>
    </r>
    <r>
      <rPr>
        <b/>
        <sz val="14"/>
        <color theme="1"/>
        <rFont val="Calibri"/>
        <family val="2"/>
        <scheme val="minor"/>
      </rPr>
      <t xml:space="preserve"> </t>
    </r>
  </si>
  <si>
    <r>
      <t xml:space="preserve">              </t>
    </r>
    <r>
      <rPr>
        <b/>
        <sz val="12"/>
        <rFont val="Arial Black"/>
        <family val="2"/>
      </rPr>
      <t xml:space="preserve"> PROPOSED BUDGET</t>
    </r>
  </si>
  <si>
    <t xml:space="preserve">               INTERNAL COST ESTIMATION</t>
  </si>
  <si>
    <t>Date Prepared:</t>
  </si>
  <si>
    <t>Person-Months Table</t>
  </si>
  <si>
    <t>Computer Services</t>
  </si>
  <si>
    <t>Category</t>
  </si>
  <si>
    <t>Research Associate</t>
  </si>
  <si>
    <t>Administrative Assistant</t>
  </si>
  <si>
    <t>Consultant or Contract Services</t>
  </si>
  <si>
    <t>Post Doctoral Associate</t>
  </si>
  <si>
    <t>OEP F/T or Classified Perm</t>
  </si>
  <si>
    <t>OEP P/T or Classified Temp</t>
  </si>
  <si>
    <t>Yes</t>
  </si>
  <si>
    <t>No</t>
  </si>
  <si>
    <t>J.</t>
  </si>
  <si>
    <t xml:space="preserve">K. </t>
  </si>
  <si>
    <t>Professional Research Assistant</t>
  </si>
  <si>
    <t>IDC Exclusions</t>
  </si>
  <si>
    <t>Service activity direct costs are included in rate determination</t>
  </si>
  <si>
    <t>Budget Total:</t>
  </si>
  <si>
    <t>Per Diem</t>
  </si>
  <si>
    <t>Lab Supplies</t>
  </si>
  <si>
    <t>Small Equipment</t>
  </si>
  <si>
    <t>Field Research Equipment</t>
  </si>
  <si>
    <t>Materials for Interviews</t>
  </si>
  <si>
    <t>Interview Incentives</t>
  </si>
  <si>
    <t>Off-site Facility Rental (F&amp;A Exempt)</t>
  </si>
  <si>
    <t>Tuition Remission (F&amp;A Exempt)</t>
  </si>
  <si>
    <t>CU Proposal Number:</t>
  </si>
  <si>
    <t>Pre/Post Doctoral Stipend</t>
  </si>
  <si>
    <t>Rate based service activity direct and GAIR costs are included in service activity rate calculation</t>
  </si>
  <si>
    <t>Conference Registration Fee(s)</t>
  </si>
  <si>
    <t>RIO Printed Name:</t>
  </si>
  <si>
    <t>RIO SIGNATURE:</t>
  </si>
  <si>
    <t>Cost/ Person</t>
  </si>
  <si>
    <t># Days</t>
  </si>
  <si>
    <t>Copy and paste into your budget justification Travel section.</t>
  </si>
  <si>
    <t># Miles</t>
  </si>
  <si>
    <t>The travel table is provided for easy transfer of travel details to a budget justification. Travel cost details are required by NSF and may be required by other sponsors.</t>
  </si>
  <si>
    <r>
      <rPr>
        <b/>
        <i/>
        <sz val="12"/>
        <color rgb="FF3333FF"/>
        <rFont val="Times New Roman"/>
        <family val="1"/>
      </rPr>
      <t>**FAQ:</t>
    </r>
    <r>
      <rPr>
        <i/>
        <sz val="12"/>
        <color rgb="FF3333FF"/>
        <rFont val="Times New Roman"/>
        <family val="1"/>
      </rPr>
      <t xml:space="preserve"> How do I "hide" rows or columns?</t>
    </r>
    <r>
      <rPr>
        <b/>
        <i/>
        <sz val="12"/>
        <color rgb="FF3333FF"/>
        <rFont val="Times New Roman"/>
        <family val="1"/>
      </rPr>
      <t xml:space="preserve">A: </t>
    </r>
    <r>
      <rPr>
        <i/>
        <sz val="12"/>
        <color rgb="FF3333FF"/>
        <rFont val="Times New Roman"/>
        <family val="1"/>
      </rPr>
      <t xml:space="preserve">Click on the number of the row/column you would like to start at, hold </t>
    </r>
    <r>
      <rPr>
        <b/>
        <i/>
        <sz val="12"/>
        <color rgb="FF3333FF"/>
        <rFont val="Times New Roman"/>
        <family val="1"/>
      </rPr>
      <t>shift</t>
    </r>
    <r>
      <rPr>
        <i/>
        <sz val="12"/>
        <color rgb="FF3333FF"/>
        <rFont val="Times New Roman"/>
        <family val="1"/>
      </rPr>
      <t xml:space="preserve">, then click the row/column number you will end with. Once your chosen rows or columns are highlighted, </t>
    </r>
    <r>
      <rPr>
        <b/>
        <i/>
        <sz val="12"/>
        <color rgb="FF3333FF"/>
        <rFont val="Times New Roman"/>
        <family val="1"/>
      </rPr>
      <t>right click</t>
    </r>
    <r>
      <rPr>
        <i/>
        <sz val="12"/>
        <color rgb="FF3333FF"/>
        <rFont val="Times New Roman"/>
        <family val="1"/>
      </rPr>
      <t xml:space="preserve"> and choose </t>
    </r>
    <r>
      <rPr>
        <b/>
        <i/>
        <sz val="12"/>
        <color rgb="FF3333FF"/>
        <rFont val="Times New Roman"/>
        <family val="1"/>
      </rPr>
      <t>"Hide."</t>
    </r>
  </si>
  <si>
    <t>To transfer details to a budget justification, highlight and hide any unused rows and/or columns.</t>
  </si>
  <si>
    <t>Formatting should be appropriate for an NSF budget justification.</t>
  </si>
  <si>
    <r>
      <rPr>
        <b/>
        <i/>
        <sz val="12"/>
        <color rgb="FFFF0000"/>
        <rFont val="Times"/>
      </rPr>
      <t xml:space="preserve">Enter all travel costs without adding or deleting rows on the Estimation tab. </t>
    </r>
    <r>
      <rPr>
        <i/>
        <sz val="12"/>
        <color rgb="FF3333FF"/>
        <rFont val="Times"/>
      </rPr>
      <t>Travel costs will autopopulate in the table.</t>
    </r>
  </si>
  <si>
    <r>
      <t xml:space="preserve">Original or Revised Addendum
</t>
    </r>
    <r>
      <rPr>
        <sz val="10"/>
        <color theme="1"/>
        <rFont val="Calibri"/>
        <family val="2"/>
        <scheme val="minor"/>
      </rPr>
      <t xml:space="preserve">• </t>
    </r>
    <r>
      <rPr>
        <b/>
        <sz val="10"/>
        <color theme="1"/>
        <rFont val="Calibri"/>
        <family val="2"/>
        <scheme val="minor"/>
      </rPr>
      <t>Select Original</t>
    </r>
    <r>
      <rPr>
        <sz val="10"/>
        <color theme="1"/>
        <rFont val="Calibri"/>
        <family val="2"/>
        <scheme val="minor"/>
      </rPr>
      <t xml:space="preserve"> if this is the first cost share addendum for this project. 
• </t>
    </r>
    <r>
      <rPr>
        <b/>
        <sz val="10"/>
        <color theme="1"/>
        <rFont val="Calibri"/>
        <family val="2"/>
        <scheme val="minor"/>
      </rPr>
      <t>Select Revised</t>
    </r>
    <r>
      <rPr>
        <sz val="10"/>
        <color theme="1"/>
        <rFont val="Calibri"/>
        <family val="2"/>
        <scheme val="minor"/>
      </rPr>
      <t xml:space="preserve"> if the cost share commitment was changed after the original proposal submission and cost share addendum approval.</t>
    </r>
  </si>
  <si>
    <r>
      <t xml:space="preserve">Commitment Parameters
• Provide dollar amount or percentage </t>
    </r>
    <r>
      <rPr>
        <sz val="10"/>
        <color theme="1"/>
        <rFont val="Calibri"/>
        <family val="2"/>
        <scheme val="minor"/>
      </rPr>
      <t>of required commitment. A percentage commitment needs to clearly indicate the base of the percent commitment (such as total project costs, TDC, MTDC, etc.).</t>
    </r>
  </si>
  <si>
    <r>
      <rPr>
        <b/>
        <sz val="10"/>
        <color theme="1"/>
        <rFont val="Calibri"/>
        <family val="2"/>
        <scheme val="minor"/>
      </rPr>
      <t>Required Signatures</t>
    </r>
    <r>
      <rPr>
        <sz val="10"/>
        <color theme="1"/>
        <rFont val="Calibri"/>
        <family val="2"/>
        <scheme val="minor"/>
      </rPr>
      <t xml:space="preserve">
•</t>
    </r>
    <r>
      <rPr>
        <b/>
        <sz val="10"/>
        <color theme="1"/>
        <rFont val="Calibri"/>
        <family val="2"/>
        <scheme val="minor"/>
      </rPr>
      <t xml:space="preserve"> </t>
    </r>
    <r>
      <rPr>
        <sz val="10"/>
        <color theme="1"/>
        <rFont val="Calibri"/>
        <family val="2"/>
        <scheme val="minor"/>
      </rPr>
      <t xml:space="preserve">Provide </t>
    </r>
    <r>
      <rPr>
        <b/>
        <sz val="10"/>
        <color theme="1"/>
        <rFont val="Calibri"/>
        <family val="2"/>
        <scheme val="minor"/>
      </rPr>
      <t>signature</t>
    </r>
    <r>
      <rPr>
        <sz val="10"/>
        <color theme="1"/>
        <rFont val="Calibri"/>
        <family val="2"/>
        <scheme val="minor"/>
      </rPr>
      <t xml:space="preserve"> </t>
    </r>
    <r>
      <rPr>
        <b/>
        <sz val="10"/>
        <color theme="1"/>
        <rFont val="Calibri"/>
        <family val="2"/>
        <scheme val="minor"/>
      </rPr>
      <t xml:space="preserve">for PI </t>
    </r>
    <r>
      <rPr>
        <sz val="10"/>
        <color theme="1"/>
        <rFont val="Calibri"/>
        <family val="2"/>
        <scheme val="minor"/>
      </rPr>
      <t>and</t>
    </r>
    <r>
      <rPr>
        <b/>
        <sz val="10"/>
        <color theme="1"/>
        <rFont val="Calibri"/>
        <family val="2"/>
        <scheme val="minor"/>
      </rPr>
      <t xml:space="preserve"> signature and printed name for Chair or Director.</t>
    </r>
    <r>
      <rPr>
        <sz val="10"/>
        <color theme="1"/>
        <rFont val="Calibri"/>
        <family val="2"/>
        <scheme val="minor"/>
      </rPr>
      <t xml:space="preserve"> 
• For </t>
    </r>
    <r>
      <rPr>
        <b/>
        <sz val="10"/>
        <color theme="1"/>
        <rFont val="Calibri"/>
        <family val="2"/>
        <scheme val="minor"/>
      </rPr>
      <t>electronic signatures</t>
    </r>
    <r>
      <rPr>
        <sz val="10"/>
        <color theme="1"/>
        <rFont val="Calibri"/>
        <family val="2"/>
        <scheme val="minor"/>
      </rPr>
      <t xml:space="preserve">, addendum must be </t>
    </r>
    <r>
      <rPr>
        <b/>
        <sz val="10"/>
        <color theme="1"/>
        <rFont val="Calibri"/>
        <family val="2"/>
        <scheme val="minor"/>
      </rPr>
      <t>signed through Adobe digital signature or DocuSign</t>
    </r>
    <r>
      <rPr>
        <sz val="10"/>
        <color theme="1"/>
        <rFont val="Calibri"/>
        <family val="2"/>
        <scheme val="minor"/>
      </rPr>
      <t>.</t>
    </r>
  </si>
  <si>
    <r>
      <rPr>
        <b/>
        <sz val="10"/>
        <color theme="1"/>
        <rFont val="Calibri"/>
        <family val="2"/>
        <scheme val="minor"/>
      </rPr>
      <t>Contributor</t>
    </r>
    <r>
      <rPr>
        <sz val="10"/>
        <color theme="1"/>
        <rFont val="Calibri"/>
        <family val="2"/>
        <scheme val="minor"/>
      </rPr>
      <t xml:space="preserve"> </t>
    </r>
    <r>
      <rPr>
        <b/>
        <sz val="10"/>
        <color theme="1"/>
        <rFont val="Calibri"/>
        <family val="2"/>
        <scheme val="minor"/>
      </rPr>
      <t>Signatures</t>
    </r>
    <r>
      <rPr>
        <sz val="10"/>
        <color theme="1"/>
        <rFont val="Calibri"/>
        <family val="2"/>
        <scheme val="minor"/>
      </rPr>
      <t xml:space="preserve">
• Provide </t>
    </r>
    <r>
      <rPr>
        <b/>
        <sz val="10"/>
        <color theme="1"/>
        <rFont val="Calibri"/>
        <family val="2"/>
        <scheme val="minor"/>
      </rPr>
      <t>signatures</t>
    </r>
    <r>
      <rPr>
        <sz val="10"/>
        <color theme="1"/>
        <rFont val="Calibri"/>
        <family val="2"/>
        <scheme val="minor"/>
      </rPr>
      <t xml:space="preserve"> and </t>
    </r>
    <r>
      <rPr>
        <b/>
        <sz val="10"/>
        <color theme="1"/>
        <rFont val="Calibri"/>
        <family val="2"/>
        <scheme val="minor"/>
      </rPr>
      <t>printed names</t>
    </r>
    <r>
      <rPr>
        <sz val="10"/>
        <color theme="1"/>
        <rFont val="Calibri"/>
        <family val="2"/>
        <scheme val="minor"/>
      </rPr>
      <t xml:space="preserve"> for </t>
    </r>
    <r>
      <rPr>
        <b/>
        <sz val="10"/>
        <color theme="1"/>
        <rFont val="Calibri"/>
        <family val="2"/>
        <scheme val="minor"/>
      </rPr>
      <t>all parties contributing cost share</t>
    </r>
    <r>
      <rPr>
        <sz val="10"/>
        <color theme="1"/>
        <rFont val="Calibri"/>
        <family val="2"/>
        <scheme val="minor"/>
      </rPr>
      <t xml:space="preserve">. 
• Provide </t>
    </r>
    <r>
      <rPr>
        <b/>
        <sz val="10"/>
        <color theme="1"/>
        <rFont val="Calibri"/>
        <family val="2"/>
        <scheme val="minor"/>
      </rPr>
      <t>signature</t>
    </r>
    <r>
      <rPr>
        <sz val="10"/>
        <color theme="1"/>
        <rFont val="Calibri"/>
        <family val="2"/>
        <scheme val="minor"/>
      </rPr>
      <t xml:space="preserve"> for any </t>
    </r>
    <r>
      <rPr>
        <b/>
        <sz val="10"/>
        <color theme="1"/>
        <rFont val="Calibri"/>
        <family val="2"/>
        <scheme val="minor"/>
      </rPr>
      <t>Co-PI(s)</t>
    </r>
    <r>
      <rPr>
        <sz val="10"/>
        <color theme="1"/>
        <rFont val="Calibri"/>
        <family val="2"/>
        <scheme val="minor"/>
      </rPr>
      <t xml:space="preserve"> contributing effort </t>
    </r>
    <r>
      <rPr>
        <b/>
        <sz val="10"/>
        <color theme="1"/>
        <rFont val="Calibri"/>
        <family val="2"/>
        <scheme val="minor"/>
      </rPr>
      <t>and</t>
    </r>
    <r>
      <rPr>
        <sz val="10"/>
        <color theme="1"/>
        <rFont val="Calibri"/>
        <family val="2"/>
        <scheme val="minor"/>
      </rPr>
      <t xml:space="preserve"> for </t>
    </r>
    <r>
      <rPr>
        <b/>
        <sz val="10"/>
        <color theme="1"/>
        <rFont val="Calibri"/>
        <family val="2"/>
        <scheme val="minor"/>
      </rPr>
      <t>the Chair or Department</t>
    </r>
    <r>
      <rPr>
        <sz val="10"/>
        <color theme="1"/>
        <rFont val="Calibri"/>
        <family val="2"/>
        <scheme val="minor"/>
      </rPr>
      <t xml:space="preserve"> for his/her department. 
• For "Other" CU contributors, </t>
    </r>
    <r>
      <rPr>
        <b/>
        <sz val="10"/>
        <color theme="1"/>
        <rFont val="Calibri"/>
        <family val="2"/>
        <scheme val="minor"/>
      </rPr>
      <t>edit "Other # (specify):" with name of signer</t>
    </r>
    <r>
      <rPr>
        <sz val="10"/>
        <color theme="1"/>
        <rFont val="Calibri"/>
        <family val="2"/>
        <scheme val="minor"/>
      </rPr>
      <t xml:space="preserve">. As applicable, these may include Co-PIs in other departments and their Chair or Director. 
• For </t>
    </r>
    <r>
      <rPr>
        <b/>
        <sz val="10"/>
        <color theme="1"/>
        <rFont val="Calibri"/>
        <family val="2"/>
        <scheme val="minor"/>
      </rPr>
      <t>electronic signatures</t>
    </r>
    <r>
      <rPr>
        <sz val="10"/>
        <color theme="1"/>
        <rFont val="Calibri"/>
        <family val="2"/>
        <scheme val="minor"/>
      </rPr>
      <t xml:space="preserve">, addendum must be </t>
    </r>
    <r>
      <rPr>
        <b/>
        <sz val="10"/>
        <color theme="1"/>
        <rFont val="Calibri"/>
        <family val="2"/>
        <scheme val="minor"/>
      </rPr>
      <t>signed through Adobe digital signature or DocuSign</t>
    </r>
    <r>
      <rPr>
        <sz val="10"/>
        <color theme="1"/>
        <rFont val="Calibri"/>
        <family val="2"/>
        <scheme val="minor"/>
      </rPr>
      <t>.</t>
    </r>
  </si>
  <si>
    <t>PI / FACULTY EFFORT SALARY and FRINGE BENEFITS (detail on proposal budget)</t>
  </si>
  <si>
    <r>
      <t xml:space="preserve">Fringe Benefits: </t>
    </r>
    <r>
      <rPr>
        <sz val="10"/>
        <color rgb="FF000000"/>
        <rFont val="Calibri"/>
        <family val="2"/>
        <scheme val="minor"/>
      </rPr>
      <t xml:space="preserve">Cost sharing fringe benefits are calculated on salaries and wages that are:
 1) </t>
    </r>
    <r>
      <rPr>
        <b/>
        <sz val="10"/>
        <color rgb="FF000000"/>
        <rFont val="Calibri"/>
        <family val="2"/>
        <scheme val="minor"/>
      </rPr>
      <t>Semester pay</t>
    </r>
    <r>
      <rPr>
        <sz val="10"/>
        <color rgb="FF000000"/>
        <rFont val="Calibri"/>
        <family val="2"/>
        <scheme val="minor"/>
      </rPr>
      <t xml:space="preserve"> corresponding to cost sharing effort certified on ePERs; or
 2) Benefits calculated on </t>
    </r>
    <r>
      <rPr>
        <b/>
        <sz val="10"/>
        <color rgb="FF000000"/>
        <rFont val="Calibri"/>
        <family val="2"/>
        <scheme val="minor"/>
      </rPr>
      <t>direct-charged salary</t>
    </r>
    <r>
      <rPr>
        <sz val="10"/>
        <color rgb="FF000000"/>
        <rFont val="Calibri"/>
        <family val="2"/>
        <scheme val="minor"/>
      </rPr>
      <t xml:space="preserve">, which are calculated only on the salaries and wages to be charged to Cost Share.
</t>
    </r>
    <r>
      <rPr>
        <b/>
        <sz val="10"/>
        <color rgb="FF000000"/>
        <rFont val="Calibri"/>
        <family val="2"/>
        <scheme val="minor"/>
      </rPr>
      <t xml:space="preserve">Fringe benefits should be reported </t>
    </r>
    <r>
      <rPr>
        <sz val="10"/>
        <color rgb="FF000000"/>
        <rFont val="Calibri"/>
        <family val="2"/>
        <scheme val="minor"/>
      </rPr>
      <t xml:space="preserve">along with the salaries, each </t>
    </r>
    <r>
      <rPr>
        <b/>
        <sz val="10"/>
        <color rgb="FF000000"/>
        <rFont val="Calibri"/>
        <family val="2"/>
        <scheme val="minor"/>
      </rPr>
      <t xml:space="preserve">on its own line, </t>
    </r>
    <r>
      <rPr>
        <sz val="10"/>
        <color rgb="FF000000"/>
        <rFont val="Calibri"/>
        <family val="2"/>
        <scheme val="minor"/>
      </rPr>
      <t>and</t>
    </r>
    <r>
      <rPr>
        <b/>
        <sz val="10"/>
        <color rgb="FF000000"/>
        <rFont val="Calibri"/>
        <family val="2"/>
        <scheme val="minor"/>
      </rPr>
      <t xml:space="preserve"> must not be combined for multiple individuals</t>
    </r>
    <r>
      <rPr>
        <sz val="10"/>
        <color rgb="FF000000"/>
        <rFont val="Calibri"/>
        <family val="2"/>
        <scheme val="minor"/>
      </rPr>
      <t xml:space="preserve">; insert lines into the table if there aren't enough to include all individuals.
</t>
    </r>
    <r>
      <rPr>
        <b/>
        <i/>
        <sz val="10"/>
        <color rgb="FF000000"/>
        <rFont val="Calibri"/>
        <family val="2"/>
        <scheme val="minor"/>
      </rPr>
      <t>Note: Benefits are charged to cost share Speedtypes directly. The cost of benefits should be included in cash contributions.</t>
    </r>
  </si>
  <si>
    <t>Name (insert additonal rows as necessary)</t>
  </si>
  <si>
    <t>Salary</t>
  </si>
  <si>
    <t>Co-PI/Others #1</t>
  </si>
  <si>
    <t>name</t>
  </si>
  <si>
    <t>Co-PI/Others #2</t>
  </si>
  <si>
    <t>Co-PI/Others #3</t>
  </si>
  <si>
    <t>Co-PI/Others #4</t>
  </si>
  <si>
    <t>Additional Co-PI/Others</t>
  </si>
  <si>
    <t>CU BOULDER CASH COST SHARE (detail on proposal budget)</t>
  </si>
  <si>
    <r>
      <rPr>
        <b/>
        <sz val="10"/>
        <color theme="1"/>
        <rFont val="Calibri"/>
        <family val="2"/>
        <scheme val="minor"/>
      </rPr>
      <t>Cost Share Details
• Enter budget items and total cost share for each year to be provided by each contributor.</t>
    </r>
    <r>
      <rPr>
        <sz val="10"/>
        <color theme="1"/>
        <rFont val="Calibri"/>
        <family val="2"/>
        <scheme val="minor"/>
      </rPr>
      <t xml:space="preserve">
• </t>
    </r>
    <r>
      <rPr>
        <b/>
        <sz val="10"/>
        <color theme="1"/>
        <rFont val="Calibri"/>
        <family val="2"/>
        <scheme val="minor"/>
      </rPr>
      <t>Provide SpeedTypes</t>
    </r>
    <r>
      <rPr>
        <sz val="10"/>
        <color theme="1"/>
        <rFont val="Calibri"/>
        <family val="2"/>
        <scheme val="minor"/>
      </rPr>
      <t xml:space="preserve"> for each contributor except RIO.
• Click on the </t>
    </r>
    <r>
      <rPr>
        <b/>
        <sz val="10"/>
        <color theme="1"/>
        <rFont val="Calibri"/>
        <family val="2"/>
        <scheme val="minor"/>
      </rPr>
      <t>+ on the far left for additional lines.</t>
    </r>
    <r>
      <rPr>
        <sz val="10"/>
        <color theme="1"/>
        <rFont val="Calibri"/>
        <family val="2"/>
        <scheme val="minor"/>
      </rPr>
      <t xml:space="preserve">
• All </t>
    </r>
    <r>
      <rPr>
        <b/>
        <sz val="10"/>
        <color theme="1"/>
        <rFont val="Calibri"/>
        <family val="2"/>
        <scheme val="minor"/>
      </rPr>
      <t>GRAs</t>
    </r>
    <r>
      <rPr>
        <sz val="10"/>
        <color theme="1"/>
        <rFont val="Calibri"/>
        <family val="2"/>
        <scheme val="minor"/>
      </rPr>
      <t xml:space="preserve"> from one department </t>
    </r>
    <r>
      <rPr>
        <b/>
        <sz val="10"/>
        <color theme="1"/>
        <rFont val="Calibri"/>
        <family val="2"/>
        <scheme val="minor"/>
      </rPr>
      <t>can be grouped</t>
    </r>
    <r>
      <rPr>
        <sz val="10"/>
        <color theme="1"/>
        <rFont val="Calibri"/>
        <family val="2"/>
        <scheme val="minor"/>
      </rPr>
      <t xml:space="preserve"> together; all </t>
    </r>
    <r>
      <rPr>
        <b/>
        <sz val="10"/>
        <color theme="1"/>
        <rFont val="Calibri"/>
        <family val="2"/>
        <scheme val="minor"/>
      </rPr>
      <t>undergrads</t>
    </r>
    <r>
      <rPr>
        <sz val="10"/>
        <color theme="1"/>
        <rFont val="Calibri"/>
        <family val="2"/>
        <scheme val="minor"/>
      </rPr>
      <t xml:space="preserve"> from one department </t>
    </r>
    <r>
      <rPr>
        <b/>
        <sz val="10"/>
        <color theme="1"/>
        <rFont val="Calibri"/>
        <family val="2"/>
        <scheme val="minor"/>
      </rPr>
      <t>can be grouped</t>
    </r>
    <r>
      <rPr>
        <sz val="10"/>
        <color theme="1"/>
        <rFont val="Calibri"/>
        <family val="2"/>
        <scheme val="minor"/>
      </rPr>
      <t xml:space="preserve"> together. </t>
    </r>
    <r>
      <rPr>
        <b/>
        <sz val="10"/>
        <color theme="1"/>
        <rFont val="Calibri"/>
        <family val="2"/>
        <scheme val="minor"/>
      </rPr>
      <t>GRAs cannot be grouped with undergrads.</t>
    </r>
  </si>
  <si>
    <t>Dept/Institute: [Name]</t>
  </si>
  <si>
    <t>[Project Role] Salary*</t>
  </si>
  <si>
    <t>[Project Role] Fringe Benefits*</t>
  </si>
  <si>
    <t>GRA Tuition</t>
  </si>
  <si>
    <t>Research &amp; Innovation Office</t>
  </si>
  <si>
    <t>CU Boulder Effort and Cash Subtotal</t>
  </si>
  <si>
    <t>VALUE OF F&amp;A  (detail on proposal budget)</t>
  </si>
  <si>
    <t>VALUE OF IN-KIND NON-CASH COST SHARE  (detail on 2-CS In-Kind)</t>
  </si>
  <si>
    <t>VALUE OF EXTERNAL COST SHARE  (detail on 3-CS External)</t>
  </si>
  <si>
    <t xml:space="preserve">Notes: Describe and date any unusual circumstances, exclusions or explanation. </t>
  </si>
  <si>
    <t>Check</t>
  </si>
  <si>
    <t xml:space="preserve">Office of Contracts and Grants </t>
  </si>
  <si>
    <t>University of Colorado Boulder</t>
  </si>
  <si>
    <t>Authorized Representative</t>
  </si>
  <si>
    <t>Signature</t>
  </si>
  <si>
    <t xml:space="preserve">Email </t>
  </si>
  <si>
    <t>Travel Table Instructions (see below for LaTeX instructions)</t>
  </si>
  <si>
    <t xml:space="preserve">Sponsor:  </t>
  </si>
  <si>
    <t>Project Information</t>
  </si>
  <si>
    <t xml:space="preserve">Period of Performance: </t>
  </si>
  <si>
    <t>Proposed IDC Base</t>
  </si>
  <si>
    <t>Proposed IDC Rate</t>
  </si>
  <si>
    <t>Is the IDC loss contributed as cost share?</t>
  </si>
  <si>
    <t>NO</t>
  </si>
  <si>
    <t>YES</t>
  </si>
  <si>
    <t>Purpose of IDC Addendum</t>
  </si>
  <si>
    <t>In accordance with CU’s Disclosure Statement (DS-2) and Colorado State law, the federally negotiated indirect cost (IDC) or facilities and administration (F&amp;A) rates are to be applied to all contracts and grants. Partial or no reimbursement for IDC may be budgeted according to a sponsor’s limit on the rate of IDC as listed below. An IDC Addendum Form approved by the Department or Institute must be completed for any such project. If a reduced IDC rate is requested for any other reason, an IDC Waiver Request must be completed and returned to the appropriate Proposal Analyst at least 5 business days in advance of the deadline in order to receive full consideration.</t>
  </si>
  <si>
    <t>Approval</t>
  </si>
  <si>
    <t>Dept. Chair/Unit Director/Dean</t>
  </si>
  <si>
    <t>Research</t>
  </si>
  <si>
    <t>On-Campus</t>
  </si>
  <si>
    <t>Off-Campus</t>
  </si>
  <si>
    <t>Instruction</t>
  </si>
  <si>
    <t>IDC Base:</t>
  </si>
  <si>
    <t>Total Committed Cost Share:</t>
  </si>
  <si>
    <t xml:space="preserve">Signatures confirm approval of the loss of indirect costs that would be incurred if this IDC addendum is approved. First approval must be at the level of Chair, Director, or Dean. Second approval must be from the Associate Dean for Research of the College where the unit resides or the Associate Dean of the School, whichever is applicable. </t>
  </si>
  <si>
    <t>Associate Dean/Associate Dean for Research</t>
  </si>
  <si>
    <t xml:space="preserve">Duration: </t>
  </si>
  <si>
    <t>Year 6</t>
  </si>
  <si>
    <t>Year 7</t>
  </si>
  <si>
    <t>Year 8</t>
  </si>
  <si>
    <t>Year 9</t>
  </si>
  <si>
    <t>Year 10</t>
  </si>
  <si>
    <t>&lt;&lt; Years 6-10</t>
  </si>
  <si>
    <t>Inflate Travel?:</t>
  </si>
  <si>
    <t>Position</t>
  </si>
  <si>
    <t>Campus Rates</t>
  </si>
  <si>
    <t>Cost Type</t>
  </si>
  <si>
    <t>Direct Costs</t>
  </si>
  <si>
    <t>F&amp;A Types</t>
  </si>
  <si>
    <t>Rates</t>
  </si>
  <si>
    <t>Yes/No</t>
  </si>
  <si>
    <t>COST SHARE</t>
  </si>
  <si>
    <t>&lt;&lt; Cost Share</t>
  </si>
  <si>
    <t xml:space="preserve">Total Percentage of Cost Share: </t>
  </si>
  <si>
    <t>Cost Share Type</t>
  </si>
  <si>
    <t>Denominator:</t>
  </si>
  <si>
    <t>Research Faculty</t>
  </si>
  <si>
    <t>Conference</t>
  </si>
  <si>
    <t>&lt;&lt; Year 6-10</t>
  </si>
  <si>
    <t>Hourly Salaries</t>
  </si>
  <si>
    <t>Classified Salaries</t>
  </si>
  <si>
    <t>Other Sponsored Activities</t>
  </si>
  <si>
    <t xml:space="preserve">Graduate Student Fees (F&amp;A Exempt) </t>
  </si>
  <si>
    <t>Inflate fringe?*</t>
  </si>
  <si>
    <t>Total Sponsor Request:</t>
  </si>
  <si>
    <t>Sponsor + Cost Share</t>
  </si>
  <si>
    <t xml:space="preserve">Total Direct Distribution from Sponsor/Foreign Currency Exchange Contingency </t>
  </si>
  <si>
    <t>Total Amount Requested from Sponsor</t>
  </si>
  <si>
    <t xml:space="preserve">Number of Subs*: </t>
  </si>
  <si>
    <t>Entity Name/Foreign Currency Exchange Contingency</t>
  </si>
  <si>
    <t xml:space="preserve">$40/day has been estimated as an average for </t>
  </si>
  <si>
    <t>Sponsor Request</t>
  </si>
  <si>
    <t xml:space="preserve">ground transportation based on historical information </t>
  </si>
  <si>
    <t>non-CU employees</t>
  </si>
  <si>
    <t>Participant stipends only allowed for</t>
  </si>
  <si>
    <t>Working PERA/ORP Retiree</t>
  </si>
  <si>
    <t xml:space="preserve">The following items included as "direct costs" demonstrate the project's value to CU Boulder and may help offset the loss of indirect costs in that the campus, dean, or institute or department also receive benefit. </t>
  </si>
  <si>
    <t xml:space="preserve">Research Associate: </t>
  </si>
  <si>
    <t>Voluntary Waived F&amp;A (Unrecovered F&amp;A)</t>
  </si>
  <si>
    <t>Mandatory Waived F&amp;A (Unrecovered F&amp;A)</t>
  </si>
  <si>
    <t xml:space="preserve">F&amp;A Charged on Cost Share </t>
  </si>
  <si>
    <r>
      <t xml:space="preserve">F&amp;A Charged on Cost Share: </t>
    </r>
    <r>
      <rPr>
        <sz val="10"/>
        <color theme="1"/>
        <rFont val="Calibri"/>
        <family val="2"/>
        <scheme val="minor"/>
      </rPr>
      <t>F&amp;A calculated on the cost share portion is a real commitment and investment, calculated according to the F&amp;A policy for the project, but is considered lost opportunity and is not an actual cash contribution from CU Boulder.</t>
    </r>
    <r>
      <rPr>
        <b/>
        <sz val="10"/>
        <color theme="1"/>
        <rFont val="Calibri"/>
        <family val="2"/>
        <scheme val="minor"/>
      </rPr>
      <t xml:space="preserve">
Mandatory Waived F&amp;A: </t>
    </r>
    <r>
      <rPr>
        <sz val="10"/>
        <color theme="1"/>
        <rFont val="Calibri"/>
        <family val="2"/>
        <scheme val="minor"/>
      </rPr>
      <t xml:space="preserve">Mandatory waived F&amp;A (also called unrecovered F&amp;A) is F&amp;A CU Boulder does not charge on project costs because of a U.S. government entity or non-profit’s policy that limits F&amp;A to a rate lower than our federally negotiated F&amp;A rate. The waived portion of F&amp;A can be used as cost share if the sponsor allows. 
</t>
    </r>
    <r>
      <rPr>
        <b/>
        <sz val="10"/>
        <color theme="1"/>
        <rFont val="Calibri"/>
        <family val="2"/>
        <scheme val="minor"/>
      </rPr>
      <t>Voluntary Waived F&amp;A:</t>
    </r>
    <r>
      <rPr>
        <sz val="10"/>
        <color theme="1"/>
        <rFont val="Calibri"/>
        <family val="2"/>
        <scheme val="minor"/>
      </rPr>
      <t xml:space="preserve"> Voluntary Waived F&amp;A (also considered unrecovered F&amp;A) is F&amp;A CU Boulder has elected, through an approved IDC Waiver, to not charge on the project costs. The waived portion of F&amp;A can be used as cost share if the sponsor allows. 
</t>
    </r>
    <r>
      <rPr>
        <b/>
        <i/>
        <sz val="10"/>
        <color theme="1"/>
        <rFont val="Calibri"/>
        <family val="2"/>
        <scheme val="minor"/>
      </rPr>
      <t>Note: For all cost share SpeedTypes, F&amp;A is manually calculated outside the Finance system and does not require cash funding to the cost share SpeedTypes. F&amp;A, regardless of type, is considered in-kind cost share.</t>
    </r>
  </si>
  <si>
    <r>
      <t xml:space="preserve">Source Speedtype or Fund Type                                     </t>
    </r>
    <r>
      <rPr>
        <b/>
        <sz val="9"/>
        <color rgb="FFFF0000"/>
        <rFont val="Calibri"/>
        <family val="2"/>
        <scheme val="minor"/>
      </rPr>
      <t>(this field required)</t>
    </r>
  </si>
  <si>
    <r>
      <t xml:space="preserve">Source Speedtype or Fund Type                                    </t>
    </r>
    <r>
      <rPr>
        <b/>
        <sz val="9"/>
        <color rgb="FFFF0000"/>
        <rFont val="Calibri"/>
        <family val="2"/>
        <scheme val="minor"/>
      </rPr>
      <t xml:space="preserve"> (this field required)</t>
    </r>
  </si>
  <si>
    <r>
      <rPr>
        <b/>
        <sz val="10"/>
        <color theme="1"/>
        <rFont val="Calibri"/>
        <family val="2"/>
        <scheme val="minor"/>
      </rPr>
      <t>Speedtypes</t>
    </r>
    <r>
      <rPr>
        <sz val="10"/>
        <color theme="1"/>
        <rFont val="Calibri"/>
        <family val="2"/>
        <scheme val="minor"/>
      </rPr>
      <t xml:space="preserve">
•</t>
    </r>
    <r>
      <rPr>
        <b/>
        <sz val="10"/>
        <color theme="1"/>
        <rFont val="Calibri"/>
        <family val="2"/>
        <scheme val="minor"/>
      </rPr>
      <t xml:space="preserve"> Source speedtypes for each cost share contribution should be provided at signature.</t>
    </r>
    <r>
      <rPr>
        <sz val="10"/>
        <color theme="1"/>
        <rFont val="Calibri"/>
        <family val="2"/>
        <scheme val="minor"/>
      </rPr>
      <t xml:space="preserve">
•</t>
    </r>
    <r>
      <rPr>
        <b/>
        <sz val="10"/>
        <color theme="1"/>
        <rFont val="Calibri"/>
        <family val="2"/>
        <scheme val="minor"/>
      </rPr>
      <t xml:space="preserve"> If speedtype is not available, at a minimim enter the Fund number (ex. Fund 10, Fund 26, etc.)</t>
    </r>
    <r>
      <rPr>
        <sz val="10"/>
        <color theme="1"/>
        <rFont val="Calibri"/>
        <family val="2"/>
        <scheme val="minor"/>
      </rPr>
      <t xml:space="preserve">                                                                             </t>
    </r>
    <r>
      <rPr>
        <b/>
        <sz val="10"/>
        <color theme="1"/>
        <rFont val="Calibri"/>
        <family val="2"/>
        <scheme val="minor"/>
      </rPr>
      <t xml:space="preserve">Note:  Missing speedtypes will delay award set-up. </t>
    </r>
  </si>
  <si>
    <t>Human Subjects payments</t>
  </si>
  <si>
    <r>
      <t xml:space="preserve">Note: Participant Support is </t>
    </r>
    <r>
      <rPr>
        <b/>
        <i/>
        <sz val="11"/>
        <rFont val="Calibri"/>
        <family val="2"/>
        <scheme val="minor"/>
      </rPr>
      <t>not</t>
    </r>
    <r>
      <rPr>
        <i/>
        <sz val="11"/>
        <rFont val="Calibri"/>
        <family val="2"/>
        <scheme val="minor"/>
      </rPr>
      <t xml:space="preserve"> </t>
    </r>
  </si>
  <si>
    <t>FY 26</t>
  </si>
  <si>
    <t>No. GRAs</t>
  </si>
  <si>
    <t>No. Person-Trips</t>
  </si>
  <si>
    <t>Base Rate</t>
  </si>
  <si>
    <t>No. Vehicle-Trips</t>
  </si>
  <si>
    <t>Total Domestic Travel</t>
  </si>
  <si>
    <t>Total International Travel</t>
  </si>
  <si>
    <t>Hourly Rate</t>
  </si>
  <si>
    <t>Hours</t>
  </si>
  <si>
    <t>Weeks</t>
  </si>
  <si>
    <t>Phase I SBIR/STTR</t>
  </si>
  <si>
    <t>Y1 Calculation</t>
  </si>
  <si>
    <t>Research Off-Campus</t>
  </si>
  <si>
    <t>Other Sponsored Activities Off-Campus</t>
  </si>
  <si>
    <t>Instruction Off-Campus</t>
  </si>
  <si>
    <t>IPA</t>
  </si>
  <si>
    <t xml:space="preserve">Frequently Needed Information </t>
  </si>
  <si>
    <t>Official Codes, Rates, Certifications for Sponsored Projects</t>
  </si>
  <si>
    <t>CU Address, AOR, &amp; Fiscal Representative</t>
  </si>
  <si>
    <t>Applicant Organization Name:</t>
  </si>
  <si>
    <t>The Regents of the University of Colorado</t>
  </si>
  <si>
    <t>Address:</t>
  </si>
  <si>
    <t>University of Colorado
Office of Contracts and Grants
3100 Marine Street
Room 481, 572 UCB
Boulder, CO 80309-0001</t>
  </si>
  <si>
    <t>Phone/Fax:</t>
  </si>
  <si>
    <t>(303) 492-6221
Fax: (303) 492-6421</t>
  </si>
  <si>
    <t>Officials authorized to sign for CU:</t>
  </si>
  <si>
    <t>Alexa Van Dalsem
Director, Office of Contracts and Grants
(303) 735-6525
alexa.vandalsem@colorado.edu</t>
  </si>
  <si>
    <t>Awards and Checks payable to:</t>
  </si>
  <si>
    <t>University of Colorado Boulder
Campus Controller's Office
PO Box 209433
Dallas, TX 75320-9433</t>
  </si>
  <si>
    <t>Individuals authorized to accept payments for CU:</t>
  </si>
  <si>
    <t>Julie deFalco
Assistant Vice Chancellor and Campus Controller
303-492-0727
Please send remittance advice to ccocashmgmt@colorado.edu</t>
  </si>
  <si>
    <t>Organizational Codes &amp; Numbers</t>
  </si>
  <si>
    <t>UEI:</t>
  </si>
  <si>
    <t>DUNS:</t>
  </si>
  <si>
    <t>00-743-1505</t>
  </si>
  <si>
    <t>Taxpayer Identification Number (TIN) / Employer Identification Number (EIN):</t>
  </si>
  <si>
    <t>84-6000555</t>
  </si>
  <si>
    <t>For NIH &amp; Other PHS agencies:</t>
  </si>
  <si>
    <t>1846000555A2</t>
  </si>
  <si>
    <t>DHHS Animal Welfare Assurance #:</t>
  </si>
  <si>
    <t>D16-00388</t>
  </si>
  <si>
    <t>AAALAC Accreditation:</t>
  </si>
  <si>
    <t>001743</t>
  </si>
  <si>
    <t>DHHS Human Subjects Assurance #:</t>
  </si>
  <si>
    <t>FWA00003492</t>
  </si>
  <si>
    <t>Commercial and Government Entity (CAGE) Code:</t>
  </si>
  <si>
    <t>4B475</t>
  </si>
  <si>
    <t>Standard Industrial Classification (SIC) Code:</t>
  </si>
  <si>
    <t>North American Industry Classification System (NAICS) Code:
See secondary codes below</t>
  </si>
  <si>
    <t>Federal Interagency Committee on Education (FICE) Code:</t>
  </si>
  <si>
    <t>001370</t>
  </si>
  <si>
    <t>Contractor Establishment Code (CEC):</t>
  </si>
  <si>
    <t>805 367270</t>
  </si>
  <si>
    <t>Misconduct in Science Filing Date:</t>
  </si>
  <si>
    <t>April 28, 1997</t>
  </si>
  <si>
    <t>VETS-100 Registration Number:</t>
  </si>
  <si>
    <t>W006751</t>
  </si>
  <si>
    <t>University Established:</t>
  </si>
  <si>
    <t>NSF Institutional Code:</t>
  </si>
  <si>
    <t>0013706000</t>
  </si>
  <si>
    <t>NIH Institution Profile (IPF) and Research Misconduct (RM) Assurance Number:</t>
  </si>
  <si>
    <t>1199902</t>
  </si>
  <si>
    <t>Congressional District:</t>
  </si>
  <si>
    <t>2nd Colorado (CO-002)</t>
  </si>
  <si>
    <t>Swift Code:</t>
  </si>
  <si>
    <t>WFBIUS6WFFX</t>
  </si>
  <si>
    <t>European Commission PIC:</t>
  </si>
  <si>
    <t>System for Award Management (SAM):</t>
  </si>
  <si>
    <t>Expires 06/02/2026</t>
  </si>
  <si>
    <t>Ariba Network ID:</t>
  </si>
  <si>
    <t>AN01572286144</t>
  </si>
  <si>
    <t>North American Industry Classification System Codes</t>
  </si>
  <si>
    <t>Primary NAICS Code</t>
  </si>
  <si>
    <t>Colleges, Universities, and Professional Schools</t>
  </si>
  <si>
    <t>Secondary NAICS Codes</t>
  </si>
  <si>
    <t>Radio and Television Broadcasting and Wireless Communications Equipment Manufacturing</t>
  </si>
  <si>
    <t>Engineering Services</t>
  </si>
  <si>
    <t>Computer Facilities Management Services</t>
  </si>
  <si>
    <t>Research and Development in the Physical, Engineering, and Life Sciences (Except Nanotechnology and Biotechnology)</t>
  </si>
  <si>
    <t>Professional Organizations</t>
  </si>
  <si>
    <t>Cognizant Federal Audit Agency</t>
  </si>
  <si>
    <t>Cognizant Federal Audit Agency and Individual</t>
  </si>
  <si>
    <t xml:space="preserve">Lucy Siow 
Branch Chief 
lucy.siow@psc.hhs.gov 
(301) 492-4891 </t>
  </si>
  <si>
    <t>SPVKK1RC2MZ3</t>
  </si>
  <si>
    <t>Predetermined for the period 7/1/25-6/30/28:</t>
  </si>
  <si>
    <t>Provisional thereafter per HHS agreement dated 09/30/2025</t>
  </si>
  <si>
    <t>*Subs to other CU campuses are not included in this total, but should be detailed below.
*Update MTDC formula as applicable for each year if subaward costs are less than $50,000 in Year 1.</t>
  </si>
  <si>
    <t>DoD Uncapped Contract</t>
  </si>
  <si>
    <t>DoD Uncapped Contract Off-Campus</t>
  </si>
  <si>
    <t>Contract Threshold: $5K</t>
  </si>
  <si>
    <t>Grant &amp; Cooperative Agreement Threshold: $10K</t>
  </si>
  <si>
    <t>Start Date on or after 7/1/26:</t>
  </si>
  <si>
    <t>Total Direct Costs less Sub F&amp;A (for NIH)</t>
  </si>
  <si>
    <t>NIH Budgeting Notes:</t>
  </si>
  <si>
    <t xml:space="preserve">- If Direct Costs (DC) are $250,000 or less per year, DC must total a modular increment amount (increments of $25k) and must submit a Modular Budget in ASSIST (exception: HCT research, see above). May use OCG NIH Modular Budget template in place of NIH Detailed Cost Estimation Tool. </t>
  </si>
  <si>
    <t>Salary Cap?</t>
  </si>
  <si>
    <t>Calculate 12 month base salary to check NIH cap.</t>
  </si>
  <si>
    <t>NIH Salary Cap FY25</t>
  </si>
  <si>
    <t>- PIs have option to inflate salaries in Y2+ or leave flat in Y2+. (Continue inflating Y1 salary)</t>
  </si>
  <si>
    <r>
      <t xml:space="preserve">- PIs may contribute unpaid AY effort to project (not considered Cost Share); </t>
    </r>
    <r>
      <rPr>
        <b/>
        <u/>
        <sz val="11"/>
        <rFont val="Calibri"/>
        <family val="2"/>
        <scheme val="minor"/>
      </rPr>
      <t>must</t>
    </r>
    <r>
      <rPr>
        <sz val="11"/>
        <rFont val="Calibri"/>
        <family val="2"/>
        <scheme val="minor"/>
      </rPr>
      <t xml:space="preserve"> specify unpaid AY effort in ESTTOOL.</t>
    </r>
  </si>
  <si>
    <r>
      <t xml:space="preserve">- Human Fetal Tissue (HFT) Costs </t>
    </r>
    <r>
      <rPr>
        <b/>
        <u/>
        <sz val="11"/>
        <color theme="1" tint="0.14999847407452621"/>
        <rFont val="Calibri"/>
        <family val="2"/>
        <scheme val="minor"/>
      </rPr>
      <t>must</t>
    </r>
    <r>
      <rPr>
        <sz val="11"/>
        <color theme="1" tint="0.14999847407452621"/>
        <rFont val="Calibri"/>
        <family val="2"/>
        <scheme val="minor"/>
      </rPr>
      <t xml:space="preserve"> be labelled separately in ODC and marked 0 if none; HFT Research must use R&amp;R budget.</t>
    </r>
  </si>
  <si>
    <t>- NIH Salary Cap is $225,700 (for 12 months); see column BA to select whether PI/Co-I are over the cap.</t>
  </si>
  <si>
    <r>
      <t xml:space="preserve">- Base Salaries </t>
    </r>
    <r>
      <rPr>
        <b/>
        <u/>
        <sz val="11"/>
        <rFont val="Calibri"/>
        <family val="2"/>
        <scheme val="minor"/>
      </rPr>
      <t>should</t>
    </r>
    <r>
      <rPr>
        <sz val="11"/>
        <rFont val="Calibri"/>
        <family val="2"/>
        <scheme val="minor"/>
      </rPr>
      <t xml:space="preserve"> be calculated at 12 months (except GRA) in order to verify if over the NIH 12-mo cap; if 9-month preferred, then adjust appt months to 9 in column BD when calculating 9-month base salary.</t>
    </r>
  </si>
  <si>
    <r>
      <t xml:space="preserve">- </t>
    </r>
    <r>
      <rPr>
        <sz val="11"/>
        <color theme="1" tint="0.14999847407452621"/>
        <rFont val="Calibri"/>
        <family val="2"/>
        <scheme val="minor"/>
      </rPr>
      <t xml:space="preserve">DMS-specific costs are no longer required as a separate budget line item; </t>
    </r>
    <r>
      <rPr>
        <u/>
        <sz val="11"/>
        <color theme="1" tint="0.14999847407452621"/>
        <rFont val="Calibri"/>
        <family val="2"/>
        <scheme val="minor"/>
      </rPr>
      <t>do not include separate line item</t>
    </r>
    <r>
      <rPr>
        <sz val="11"/>
        <color theme="1" tint="0.14999847407452621"/>
        <rFont val="Calibri"/>
        <family val="2"/>
        <scheme val="minor"/>
      </rPr>
      <t>. DMS estimated costs (including total DMS cost estimate) must be described in the Budget Justification (see OCG Budget Justification / Additional Narrative Justification templates and OCG NIH Checklists on the OCG Forms webpage).</t>
    </r>
  </si>
  <si>
    <t>Currently inflation of fringe is expected to be included on NIH proposals</t>
  </si>
  <si>
    <t>Note: DMS Costs are no longer a required separate budget line item for proposals. However, DMS costs (including costs by budget category) and summary of data must be described in Budget Justification.</t>
  </si>
  <si>
    <t>Use this row when considering NIH Direct Cost caps (and modular budgets)</t>
  </si>
  <si>
    <r>
      <t xml:space="preserve">Note: Participant Support is </t>
    </r>
    <r>
      <rPr>
        <i/>
        <u/>
        <sz val="11"/>
        <color theme="1" tint="0.14999847407452621"/>
        <rFont val="Calibri"/>
        <family val="2"/>
        <scheme val="minor"/>
      </rPr>
      <t>not</t>
    </r>
    <r>
      <rPr>
        <i/>
        <sz val="11"/>
        <color theme="1" tint="0.14999847407452621"/>
        <rFont val="Calibri"/>
        <family val="2"/>
        <scheme val="minor"/>
      </rPr>
      <t xml:space="preserve"> Human Subjects Payments.</t>
    </r>
  </si>
  <si>
    <t>F&amp;A</t>
  </si>
  <si>
    <t>Sub 1 F&amp;A</t>
  </si>
  <si>
    <t>Sub 2 F&amp;A</t>
  </si>
  <si>
    <t>Sub 3 F&amp;A</t>
  </si>
  <si>
    <t>Template Updated 12/22/2025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</si>
</sst>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5" formatCode="&quot;$&quot;#,##0_);\(&quot;$&quot;#,##0\)"/>
    <numFmt numFmtId="41" formatCode="_(* #,##0_);_(* \(#,##0\);_(* &quot;-&quot;_);_(@_)"/>
    <numFmt numFmtId="44" formatCode="_(&quot;$&quot;* #,##0.00_);_(&quot;$&quot;* \(#,##0.00\);_(&quot;$&quot;* &quot;-&quot;??_);_(@_)"/>
    <numFmt numFmtId="43" formatCode="_(* #,##0.00_);_(* \(#,##0.00\);_(* &quot;-&quot;??_);_(@_)"/>
    <numFmt numFmtId="164" formatCode="&quot;$&quot;#,##0.00"/>
    <numFmt numFmtId="165" formatCode="0.000"/>
    <numFmt numFmtId="166" formatCode="&quot;$&quot;#,##0"/>
    <numFmt numFmtId="167" formatCode="0.0%"/>
    <numFmt numFmtId="168" formatCode="_(&quot;$&quot;* #,##0_);_(&quot;$&quot;* \(#,##0\);_(&quot;$&quot;* &quot;-&quot;??_);_(@_)"/>
  </numFmts>
  <fonts count="102" x14ac:knownFonts="1">
    <font>
      <sz val="12"/>
      <name val="Times"/>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name val="Calibri"/>
      <family val="2"/>
      <scheme val="minor"/>
    </font>
    <font>
      <i/>
      <sz val="11"/>
      <name val="Calibri"/>
      <family val="2"/>
      <scheme val="minor"/>
    </font>
    <font>
      <b/>
      <sz val="11"/>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0"/>
      <name val="Arial"/>
      <family val="2"/>
    </font>
    <font>
      <sz val="11"/>
      <color theme="0" tint="-0.34998626667073579"/>
      <name val="Calibri"/>
      <family val="2"/>
      <scheme val="minor"/>
    </font>
    <font>
      <sz val="11"/>
      <color theme="0" tint="-0.499984740745262"/>
      <name val="Calibri"/>
      <family val="2"/>
      <scheme val="minor"/>
    </font>
    <font>
      <b/>
      <i/>
      <sz val="11"/>
      <name val="Calibri"/>
      <family val="2"/>
      <scheme val="minor"/>
    </font>
    <font>
      <sz val="11"/>
      <color theme="0"/>
      <name val="Calibri"/>
      <family val="2"/>
      <scheme val="minor"/>
    </font>
    <font>
      <sz val="11"/>
      <name val="Calibri"/>
      <family val="2"/>
    </font>
    <font>
      <b/>
      <sz val="11"/>
      <color theme="0" tint="-0.34998626667073579"/>
      <name val="Calibri"/>
      <family val="2"/>
      <scheme val="minor"/>
    </font>
    <font>
      <i/>
      <sz val="11"/>
      <color theme="0" tint="-0.34998626667073579"/>
      <name val="Calibri"/>
      <family val="2"/>
      <scheme val="minor"/>
    </font>
    <font>
      <i/>
      <sz val="11"/>
      <color theme="0" tint="-0.499984740745262"/>
      <name val="Calibri"/>
      <family val="2"/>
      <scheme val="minor"/>
    </font>
    <font>
      <b/>
      <sz val="14"/>
      <color theme="1"/>
      <name val="Calibri"/>
      <family val="2"/>
      <scheme val="minor"/>
    </font>
    <font>
      <u/>
      <sz val="10"/>
      <color indexed="12"/>
      <name val="Arial"/>
      <family val="2"/>
    </font>
    <font>
      <u/>
      <sz val="11"/>
      <color theme="10"/>
      <name val="Calibri"/>
      <family val="2"/>
    </font>
    <font>
      <sz val="9"/>
      <name val="Calibri"/>
      <family val="2"/>
      <scheme val="minor"/>
    </font>
    <font>
      <b/>
      <sz val="14"/>
      <color theme="1"/>
      <name val="Arial Black"/>
      <family val="2"/>
    </font>
    <font>
      <i/>
      <sz val="11"/>
      <color theme="1"/>
      <name val="Calibri"/>
      <family val="2"/>
      <scheme val="minor"/>
    </font>
    <font>
      <sz val="14"/>
      <color theme="1"/>
      <name val="Calibri"/>
      <family val="2"/>
      <scheme val="minor"/>
    </font>
    <font>
      <sz val="10"/>
      <color theme="1"/>
      <name val="Calibri"/>
      <family val="2"/>
      <scheme val="minor"/>
    </font>
    <font>
      <b/>
      <sz val="9"/>
      <color theme="1"/>
      <name val="Calibri"/>
      <family val="2"/>
      <scheme val="minor"/>
    </font>
    <font>
      <sz val="9"/>
      <color theme="1"/>
      <name val="Calibri"/>
      <family val="2"/>
      <scheme val="minor"/>
    </font>
    <font>
      <b/>
      <i/>
      <sz val="9"/>
      <color theme="1"/>
      <name val="Calibri"/>
      <family val="2"/>
      <scheme val="minor"/>
    </font>
    <font>
      <i/>
      <sz val="9"/>
      <color theme="1"/>
      <name val="Calibri"/>
      <family val="2"/>
      <scheme val="minor"/>
    </font>
    <font>
      <sz val="10"/>
      <name val="Calibri"/>
      <family val="2"/>
      <scheme val="minor"/>
    </font>
    <font>
      <i/>
      <sz val="10"/>
      <color theme="0"/>
      <name val="Calibri"/>
      <family val="2"/>
      <scheme val="minor"/>
    </font>
    <font>
      <sz val="10"/>
      <color theme="0"/>
      <name val="Calibri"/>
      <family val="2"/>
      <scheme val="minor"/>
    </font>
    <font>
      <b/>
      <sz val="9"/>
      <color theme="1"/>
      <name val="Arial Black"/>
      <family val="2"/>
    </font>
    <font>
      <i/>
      <sz val="8"/>
      <color theme="1"/>
      <name val="Arial"/>
      <family val="2"/>
    </font>
    <font>
      <b/>
      <u/>
      <sz val="9"/>
      <color theme="1"/>
      <name val="Calibri"/>
      <family val="2"/>
      <scheme val="minor"/>
    </font>
    <font>
      <u/>
      <sz val="9"/>
      <color indexed="12"/>
      <name val="Calibri"/>
      <family val="2"/>
      <scheme val="minor"/>
    </font>
    <font>
      <u/>
      <sz val="7"/>
      <color theme="10"/>
      <name val="Calibri"/>
      <family val="2"/>
      <scheme val="minor"/>
    </font>
    <font>
      <u/>
      <sz val="7"/>
      <name val="Calibri"/>
      <family val="2"/>
      <scheme val="minor"/>
    </font>
    <font>
      <b/>
      <sz val="7"/>
      <color theme="1"/>
      <name val="Arial Black"/>
      <family val="2"/>
    </font>
    <font>
      <b/>
      <sz val="8"/>
      <color theme="1"/>
      <name val="Calibri"/>
      <family val="2"/>
      <scheme val="minor"/>
    </font>
    <font>
      <i/>
      <sz val="7"/>
      <color theme="1"/>
      <name val="Calibri"/>
      <family val="2"/>
      <scheme val="minor"/>
    </font>
    <font>
      <sz val="7"/>
      <color theme="1"/>
      <name val="Calibri"/>
      <family val="2"/>
      <scheme val="minor"/>
    </font>
    <font>
      <sz val="8"/>
      <color theme="1"/>
      <name val="Calibri"/>
      <family val="2"/>
      <scheme val="minor"/>
    </font>
    <font>
      <b/>
      <sz val="10"/>
      <color theme="1"/>
      <name val="Calibri"/>
      <family val="2"/>
      <scheme val="minor"/>
    </font>
    <font>
      <b/>
      <sz val="10"/>
      <name val="Calibri"/>
      <family val="2"/>
      <scheme val="minor"/>
    </font>
    <font>
      <b/>
      <sz val="9"/>
      <name val="Calibri"/>
      <family val="2"/>
      <scheme val="minor"/>
    </font>
    <font>
      <b/>
      <sz val="10"/>
      <color theme="1"/>
      <name val="Arial Black"/>
      <family val="2"/>
    </font>
    <font>
      <i/>
      <sz val="10"/>
      <color theme="1"/>
      <name val="Calibri"/>
      <family val="2"/>
      <scheme val="minor"/>
    </font>
    <font>
      <b/>
      <i/>
      <sz val="11"/>
      <color theme="1"/>
      <name val="Calibri"/>
      <family val="2"/>
      <scheme val="minor"/>
    </font>
    <font>
      <b/>
      <sz val="16"/>
      <color theme="1"/>
      <name val="Calibri"/>
      <family val="2"/>
      <scheme val="minor"/>
    </font>
    <font>
      <b/>
      <sz val="12"/>
      <color theme="1"/>
      <name val="Calibri"/>
      <family val="2"/>
      <scheme val="minor"/>
    </font>
    <font>
      <u/>
      <sz val="11"/>
      <color indexed="12"/>
      <name val="Calibri"/>
      <family val="2"/>
      <scheme val="minor"/>
    </font>
    <font>
      <b/>
      <sz val="12"/>
      <name val="Arial Black"/>
      <family val="2"/>
    </font>
    <font>
      <i/>
      <sz val="11"/>
      <color theme="0" tint="-0.249977111117893"/>
      <name val="Calibri"/>
      <family val="2"/>
      <scheme val="minor"/>
    </font>
    <font>
      <sz val="11"/>
      <color theme="0" tint="-0.249977111117893"/>
      <name val="Calibri"/>
      <family val="2"/>
      <scheme val="minor"/>
    </font>
    <font>
      <b/>
      <i/>
      <sz val="11"/>
      <color theme="0" tint="-0.499984740745262"/>
      <name val="Calibri"/>
      <family val="2"/>
      <scheme val="minor"/>
    </font>
    <font>
      <sz val="12"/>
      <name val="Times"/>
    </font>
    <font>
      <sz val="11"/>
      <name val="Times"/>
    </font>
    <font>
      <sz val="12"/>
      <color theme="1"/>
      <name val="Times New Roman"/>
      <family val="1"/>
    </font>
    <font>
      <b/>
      <sz val="11"/>
      <name val="Times"/>
    </font>
    <font>
      <i/>
      <sz val="12"/>
      <color theme="1"/>
      <name val="Times New Roman"/>
      <family val="1"/>
    </font>
    <font>
      <b/>
      <sz val="12"/>
      <color rgb="FF3333FF"/>
      <name val="Times"/>
    </font>
    <font>
      <i/>
      <sz val="12"/>
      <color rgb="FF3333FF"/>
      <name val="Times"/>
    </font>
    <font>
      <sz val="12"/>
      <color rgb="FF3333FF"/>
      <name val="Times"/>
    </font>
    <font>
      <i/>
      <sz val="12"/>
      <color rgb="FF3333FF"/>
      <name val="Times New Roman"/>
      <family val="1"/>
    </font>
    <font>
      <b/>
      <i/>
      <sz val="12"/>
      <color rgb="FF3333FF"/>
      <name val="Times New Roman"/>
      <family val="1"/>
    </font>
    <font>
      <b/>
      <i/>
      <sz val="12"/>
      <color rgb="FFFF0000"/>
      <name val="Times"/>
    </font>
    <font>
      <i/>
      <sz val="11"/>
      <name val="Times"/>
    </font>
    <font>
      <b/>
      <i/>
      <sz val="10"/>
      <color theme="1"/>
      <name val="Calibri"/>
      <family val="2"/>
      <scheme val="minor"/>
    </font>
    <font>
      <b/>
      <sz val="10"/>
      <color rgb="FF000000"/>
      <name val="Calibri"/>
      <family val="2"/>
      <scheme val="minor"/>
    </font>
    <font>
      <sz val="10"/>
      <color rgb="FF000000"/>
      <name val="Calibri"/>
      <family val="2"/>
      <scheme val="minor"/>
    </font>
    <font>
      <b/>
      <i/>
      <sz val="10"/>
      <color rgb="FF000000"/>
      <name val="Calibri"/>
      <family val="2"/>
      <scheme val="minor"/>
    </font>
    <font>
      <b/>
      <sz val="11"/>
      <color theme="1"/>
      <name val="Arial"/>
      <family val="2"/>
    </font>
    <font>
      <b/>
      <sz val="9"/>
      <color rgb="FFFF0000"/>
      <name val="Calibri"/>
      <family val="2"/>
      <scheme val="minor"/>
    </font>
    <font>
      <u/>
      <sz val="12"/>
      <color theme="10"/>
      <name val="Times"/>
    </font>
    <font>
      <sz val="11"/>
      <color theme="1" tint="0.499984740745262"/>
      <name val="Calibri"/>
      <family val="2"/>
      <scheme val="minor"/>
    </font>
    <font>
      <i/>
      <sz val="11"/>
      <color theme="1" tint="0.499984740745262"/>
      <name val="Calibri"/>
      <family val="2"/>
      <scheme val="minor"/>
    </font>
    <font>
      <sz val="12"/>
      <name val="Calibri"/>
      <family val="2"/>
      <scheme val="minor"/>
    </font>
    <font>
      <b/>
      <sz val="11"/>
      <name val="Arial Black"/>
      <family val="2"/>
    </font>
    <font>
      <b/>
      <u/>
      <sz val="11"/>
      <name val="Calibri"/>
      <family val="2"/>
      <scheme val="minor"/>
    </font>
    <font>
      <b/>
      <i/>
      <u/>
      <sz val="11"/>
      <color theme="1" tint="0.14999847407452621"/>
      <name val="Calibri"/>
      <family val="2"/>
      <scheme val="minor"/>
    </font>
    <font>
      <b/>
      <i/>
      <sz val="11"/>
      <color theme="1" tint="0.14999847407452621"/>
      <name val="Calibri"/>
      <family val="2"/>
      <scheme val="minor"/>
    </font>
    <font>
      <sz val="11"/>
      <color theme="1" tint="0.14999847407452621"/>
      <name val="Calibri"/>
      <family val="2"/>
      <scheme val="minor"/>
    </font>
    <font>
      <sz val="11"/>
      <color theme="1" tint="0.249977111117893"/>
      <name val="Calibri"/>
      <family val="2"/>
      <scheme val="minor"/>
    </font>
    <font>
      <b/>
      <i/>
      <sz val="11"/>
      <color theme="1" tint="0.249977111117893"/>
      <name val="Calibri"/>
      <family val="2"/>
      <scheme val="minor"/>
    </font>
    <font>
      <b/>
      <i/>
      <u/>
      <sz val="11"/>
      <name val="Calibri"/>
      <family val="2"/>
      <scheme val="minor"/>
    </font>
    <font>
      <i/>
      <sz val="11"/>
      <color theme="1" tint="0.14999847407452621"/>
      <name val="Calibri"/>
      <family val="2"/>
      <scheme val="minor"/>
    </font>
    <font>
      <i/>
      <u/>
      <sz val="11"/>
      <color theme="1" tint="0.14999847407452621"/>
      <name val="Calibri"/>
      <family val="2"/>
      <scheme val="minor"/>
    </font>
    <font>
      <i/>
      <u/>
      <sz val="11"/>
      <name val="Calibri"/>
      <family val="2"/>
      <scheme val="minor"/>
    </font>
    <font>
      <b/>
      <u/>
      <sz val="11"/>
      <color theme="1" tint="0.14999847407452621"/>
      <name val="Calibri"/>
      <family val="2"/>
      <scheme val="minor"/>
    </font>
    <font>
      <b/>
      <sz val="11"/>
      <color theme="1" tint="0.14999847407452621"/>
      <name val="Calibri"/>
      <family val="2"/>
      <scheme val="minor"/>
    </font>
    <font>
      <u/>
      <sz val="11"/>
      <color theme="1" tint="0.14999847407452621"/>
      <name val="Calibri"/>
      <family val="2"/>
      <scheme val="minor"/>
    </font>
    <font>
      <i/>
      <sz val="11"/>
      <color theme="1" tint="0.34998626667073579"/>
      <name val="Calibri"/>
      <family val="2"/>
      <scheme val="minor"/>
    </font>
  </fonts>
  <fills count="17">
    <fill>
      <patternFill patternType="none"/>
    </fill>
    <fill>
      <patternFill patternType="gray125"/>
    </fill>
    <fill>
      <patternFill patternType="solid">
        <fgColor theme="0" tint="-0.249977111117893"/>
        <bgColor indexed="64"/>
      </patternFill>
    </fill>
    <fill>
      <patternFill patternType="solid">
        <fgColor theme="2" tint="-9.9978637043366805E-2"/>
        <bgColor indexed="64"/>
      </patternFill>
    </fill>
    <fill>
      <patternFill patternType="solid">
        <fgColor theme="2"/>
        <bgColor indexed="64"/>
      </patternFill>
    </fill>
    <fill>
      <patternFill patternType="solid">
        <fgColor theme="8" tint="0.79998168889431442"/>
        <bgColor indexed="64"/>
      </patternFill>
    </fill>
    <fill>
      <patternFill patternType="solid">
        <fgColor rgb="FFDEDAC4"/>
        <bgColor indexed="64"/>
      </patternFill>
    </fill>
    <fill>
      <patternFill patternType="solid">
        <fgColor theme="9" tint="0.59999389629810485"/>
        <bgColor indexed="64"/>
      </patternFill>
    </fill>
    <fill>
      <patternFill patternType="solid">
        <fgColor theme="6" tint="0.39997558519241921"/>
        <bgColor indexed="64"/>
      </patternFill>
    </fill>
    <fill>
      <patternFill patternType="solid">
        <fgColor theme="5" tint="0.39997558519241921"/>
        <bgColor indexed="64"/>
      </patternFill>
    </fill>
    <fill>
      <patternFill patternType="solid">
        <fgColor theme="7" tint="0.59999389629810485"/>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8" tint="0.59999389629810485"/>
        <bgColor indexed="64"/>
      </patternFill>
    </fill>
  </fills>
  <borders count="19">
    <border>
      <left/>
      <right/>
      <top/>
      <bottom/>
      <diagonal/>
    </border>
    <border>
      <left/>
      <right/>
      <top/>
      <bottom style="thin">
        <color auto="1"/>
      </bottom>
      <diagonal/>
    </border>
    <border>
      <left/>
      <right/>
      <top style="thin">
        <color indexed="64"/>
      </top>
      <bottom/>
      <diagonal/>
    </border>
    <border>
      <left/>
      <right/>
      <top style="thin">
        <color auto="1"/>
      </top>
      <bottom style="thin">
        <color indexed="64"/>
      </bottom>
      <diagonal/>
    </border>
    <border>
      <left/>
      <right/>
      <top style="double">
        <color auto="1"/>
      </top>
      <bottom style="double">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auto="1"/>
      </right>
      <top/>
      <bottom/>
      <diagonal/>
    </border>
    <border>
      <left/>
      <right style="thin">
        <color auto="1"/>
      </right>
      <top/>
      <bottom style="thin">
        <color auto="1"/>
      </bottom>
      <diagonal/>
    </border>
    <border>
      <left/>
      <right style="thin">
        <color auto="1"/>
      </right>
      <top style="thin">
        <color auto="1"/>
      </top>
      <bottom style="thin">
        <color indexed="64"/>
      </bottom>
      <diagonal/>
    </border>
    <border>
      <left style="thin">
        <color auto="1"/>
      </left>
      <right style="thin">
        <color auto="1"/>
      </right>
      <top style="thin">
        <color indexed="64"/>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style="double">
        <color auto="1"/>
      </top>
      <bottom style="thin">
        <color indexed="64"/>
      </bottom>
      <diagonal/>
    </border>
    <border>
      <left/>
      <right/>
      <top/>
      <bottom style="double">
        <color indexed="64"/>
      </bottom>
      <diagonal/>
    </border>
  </borders>
  <cellStyleXfs count="11">
    <xf numFmtId="0" fontId="0" fillId="0" borderId="0"/>
    <xf numFmtId="0" fontId="17" fillId="0" borderId="0"/>
    <xf numFmtId="0" fontId="10" fillId="0" borderId="0"/>
    <xf numFmtId="0" fontId="27" fillId="0" borderId="0" applyNumberFormat="0" applyFill="0" applyBorder="0" applyAlignment="0" applyProtection="0">
      <alignment vertical="top"/>
      <protection locked="0"/>
    </xf>
    <xf numFmtId="0" fontId="28" fillId="0" borderId="0" applyNumberFormat="0" applyFill="0" applyBorder="0" applyAlignment="0" applyProtection="0">
      <alignment vertical="top"/>
      <protection locked="0"/>
    </xf>
    <xf numFmtId="0" fontId="9" fillId="0" borderId="0"/>
    <xf numFmtId="0" fontId="8" fillId="0" borderId="0"/>
    <xf numFmtId="43" fontId="65" fillId="0" borderId="0" applyFont="0" applyFill="0" applyBorder="0" applyAlignment="0" applyProtection="0"/>
    <xf numFmtId="44" fontId="65" fillId="0" borderId="0" applyFont="0" applyFill="0" applyBorder="0" applyAlignment="0" applyProtection="0"/>
    <xf numFmtId="9" fontId="65" fillId="0" borderId="0" applyFont="0" applyFill="0" applyBorder="0" applyAlignment="0" applyProtection="0"/>
    <xf numFmtId="0" fontId="83" fillId="0" borderId="0" applyNumberFormat="0" applyFill="0" applyBorder="0" applyAlignment="0" applyProtection="0"/>
  </cellStyleXfs>
  <cellXfs count="802">
    <xf numFmtId="0" fontId="0" fillId="0" borderId="0" xfId="0"/>
    <xf numFmtId="3" fontId="12" fillId="0" borderId="0" xfId="0" applyNumberFormat="1" applyFont="1" applyAlignment="1">
      <alignment horizontal="left"/>
    </xf>
    <xf numFmtId="0" fontId="11" fillId="0" borderId="0" xfId="0" applyFont="1" applyAlignment="1">
      <alignment horizontal="right"/>
    </xf>
    <xf numFmtId="0" fontId="13" fillId="0" borderId="0" xfId="0" applyFont="1" applyAlignment="1">
      <alignment horizontal="centerContinuous"/>
    </xf>
    <xf numFmtId="0" fontId="11" fillId="0" borderId="0" xfId="0" applyFont="1" applyAlignment="1">
      <alignment horizontal="centerContinuous"/>
    </xf>
    <xf numFmtId="3" fontId="13" fillId="0" borderId="0" xfId="0" applyNumberFormat="1" applyFont="1" applyAlignment="1">
      <alignment horizontal="centerContinuous"/>
    </xf>
    <xf numFmtId="3" fontId="11" fillId="0" borderId="0" xfId="0" applyNumberFormat="1" applyFont="1" applyAlignment="1">
      <alignment horizontal="centerContinuous"/>
    </xf>
    <xf numFmtId="3" fontId="13" fillId="0" borderId="0" xfId="0" applyNumberFormat="1" applyFont="1"/>
    <xf numFmtId="3" fontId="11" fillId="0" borderId="0" xfId="0" applyNumberFormat="1" applyFont="1" applyAlignment="1">
      <alignment horizontal="left"/>
    </xf>
    <xf numFmtId="3" fontId="13" fillId="0" borderId="0" xfId="0" applyNumberFormat="1" applyFont="1" applyAlignment="1">
      <alignment horizontal="right"/>
    </xf>
    <xf numFmtId="0" fontId="13" fillId="0" borderId="0" xfId="0" applyFont="1" applyAlignment="1">
      <alignment horizontal="left"/>
    </xf>
    <xf numFmtId="3" fontId="11" fillId="0" borderId="1" xfId="0" applyNumberFormat="1" applyFont="1" applyBorder="1" applyAlignment="1">
      <alignment horizontal="right"/>
    </xf>
    <xf numFmtId="0" fontId="12" fillId="0" borderId="0" xfId="0" applyFont="1" applyAlignment="1">
      <alignment horizontal="left"/>
    </xf>
    <xf numFmtId="0" fontId="11" fillId="0" borderId="0" xfId="0" applyFont="1"/>
    <xf numFmtId="3" fontId="11" fillId="0" borderId="2" xfId="0" applyNumberFormat="1" applyFont="1" applyBorder="1" applyAlignment="1">
      <alignment horizontal="right"/>
    </xf>
    <xf numFmtId="0" fontId="11" fillId="0" borderId="0" xfId="0" applyFont="1" applyAlignment="1">
      <alignment wrapText="1"/>
    </xf>
    <xf numFmtId="3" fontId="11" fillId="0" borderId="0" xfId="0" applyNumberFormat="1" applyFont="1" applyAlignment="1">
      <alignment horizontal="center"/>
    </xf>
    <xf numFmtId="0" fontId="11" fillId="0" borderId="0" xfId="0" applyFont="1" applyAlignment="1">
      <alignment horizontal="center"/>
    </xf>
    <xf numFmtId="3" fontId="12" fillId="0" borderId="0" xfId="0" applyNumberFormat="1" applyFont="1" applyAlignment="1">
      <alignment horizontal="right"/>
    </xf>
    <xf numFmtId="0" fontId="12" fillId="0" borderId="0" xfId="0" applyFont="1"/>
    <xf numFmtId="0" fontId="18" fillId="0" borderId="0" xfId="0" applyFont="1"/>
    <xf numFmtId="0" fontId="11" fillId="0" borderId="0" xfId="0" applyFont="1" applyAlignment="1">
      <alignment vertical="center"/>
    </xf>
    <xf numFmtId="0" fontId="11" fillId="2" borderId="0" xfId="0" applyFont="1" applyFill="1" applyAlignment="1">
      <alignment vertical="center"/>
    </xf>
    <xf numFmtId="3" fontId="19" fillId="0" borderId="0" xfId="0" applyNumberFormat="1" applyFont="1"/>
    <xf numFmtId="3" fontId="19" fillId="0" borderId="0" xfId="0" applyNumberFormat="1" applyFont="1" applyAlignment="1">
      <alignment horizontal="right"/>
    </xf>
    <xf numFmtId="0" fontId="14" fillId="0" borderId="0" xfId="0" applyFont="1"/>
    <xf numFmtId="3" fontId="15" fillId="0" borderId="0" xfId="0" applyNumberFormat="1" applyFont="1" applyAlignment="1">
      <alignment horizontal="right"/>
    </xf>
    <xf numFmtId="3" fontId="11" fillId="2" borderId="0" xfId="0" applyNumberFormat="1" applyFont="1" applyFill="1" applyAlignment="1">
      <alignment vertical="center"/>
    </xf>
    <xf numFmtId="0" fontId="13" fillId="0" borderId="0" xfId="0" applyFont="1" applyAlignment="1">
      <alignment horizontal="center"/>
    </xf>
    <xf numFmtId="0" fontId="16" fillId="0" borderId="0" xfId="0" applyFont="1" applyAlignment="1">
      <alignment horizontal="center" wrapText="1"/>
    </xf>
    <xf numFmtId="0" fontId="16" fillId="0" borderId="0" xfId="0" applyFont="1" applyAlignment="1">
      <alignment horizontal="center" vertical="center" wrapText="1"/>
    </xf>
    <xf numFmtId="0" fontId="21" fillId="0" borderId="0" xfId="0" applyFont="1"/>
    <xf numFmtId="0" fontId="11" fillId="4" borderId="0" xfId="0" applyFont="1" applyFill="1" applyAlignment="1">
      <alignment horizontal="left"/>
    </xf>
    <xf numFmtId="3" fontId="11" fillId="0" borderId="0" xfId="0" applyNumberFormat="1" applyFont="1" applyAlignment="1">
      <alignment vertical="center"/>
    </xf>
    <xf numFmtId="0" fontId="13" fillId="3" borderId="1" xfId="0" applyFont="1" applyFill="1" applyBorder="1" applyAlignment="1">
      <alignment horizontal="left"/>
    </xf>
    <xf numFmtId="0" fontId="16" fillId="2" borderId="1" xfId="0" applyFont="1" applyFill="1" applyBorder="1" applyAlignment="1">
      <alignment horizontal="center" wrapText="1"/>
    </xf>
    <xf numFmtId="3" fontId="13" fillId="3" borderId="1" xfId="0" applyNumberFormat="1" applyFont="1" applyFill="1" applyBorder="1" applyAlignment="1">
      <alignment horizontal="center" vertical="center"/>
    </xf>
    <xf numFmtId="0" fontId="16" fillId="2" borderId="1" xfId="0" applyFont="1" applyFill="1" applyBorder="1" applyAlignment="1">
      <alignment horizontal="center" vertical="center" wrapText="1"/>
    </xf>
    <xf numFmtId="0" fontId="13" fillId="3" borderId="1" xfId="0" applyFont="1" applyFill="1" applyBorder="1" applyAlignment="1">
      <alignment horizontal="center" vertical="center"/>
    </xf>
    <xf numFmtId="0" fontId="16" fillId="2" borderId="0" xfId="0" applyFont="1" applyFill="1" applyAlignment="1">
      <alignment horizontal="center" wrapText="1"/>
    </xf>
    <xf numFmtId="3" fontId="11" fillId="0" borderId="0" xfId="0" applyNumberFormat="1" applyFont="1"/>
    <xf numFmtId="0" fontId="11" fillId="0" borderId="0" xfId="1" applyFont="1" applyAlignment="1">
      <alignment horizontal="left" vertical="top"/>
    </xf>
    <xf numFmtId="0" fontId="13" fillId="0" borderId="0" xfId="1" applyFont="1" applyAlignment="1">
      <alignment horizontal="left" vertical="top"/>
    </xf>
    <xf numFmtId="3" fontId="11" fillId="0" borderId="2" xfId="0" applyNumberFormat="1" applyFont="1" applyBorder="1" applyAlignment="1">
      <alignment vertical="center"/>
    </xf>
    <xf numFmtId="0" fontId="16" fillId="0" borderId="0" xfId="0" applyFont="1" applyAlignment="1" applyProtection="1">
      <alignment horizontal="center" wrapText="1"/>
      <protection locked="0"/>
    </xf>
    <xf numFmtId="0" fontId="13" fillId="0" borderId="0" xfId="0" applyFont="1" applyProtection="1">
      <protection locked="0"/>
    </xf>
    <xf numFmtId="0" fontId="16" fillId="3" borderId="3" xfId="0" applyFont="1" applyFill="1" applyBorder="1" applyAlignment="1" applyProtection="1">
      <alignment horizontal="center" wrapText="1"/>
      <protection locked="0"/>
    </xf>
    <xf numFmtId="0" fontId="11" fillId="3" borderId="4" xfId="0" applyFont="1" applyFill="1" applyBorder="1" applyAlignment="1" applyProtection="1">
      <alignment vertical="center"/>
      <protection locked="0"/>
    </xf>
    <xf numFmtId="3" fontId="13" fillId="3" borderId="4" xfId="0" applyNumberFormat="1" applyFont="1" applyFill="1" applyBorder="1" applyAlignment="1" applyProtection="1">
      <alignment vertical="center"/>
      <protection locked="0"/>
    </xf>
    <xf numFmtId="3" fontId="11" fillId="3" borderId="4" xfId="0" applyNumberFormat="1" applyFont="1" applyFill="1" applyBorder="1" applyAlignment="1" applyProtection="1">
      <alignment vertical="center"/>
      <protection locked="0"/>
    </xf>
    <xf numFmtId="0" fontId="11" fillId="0" borderId="0" xfId="0" applyFont="1" applyProtection="1">
      <protection locked="0"/>
    </xf>
    <xf numFmtId="0" fontId="23" fillId="0" borderId="0" xfId="0" applyFont="1" applyAlignment="1">
      <alignment horizontal="center" wrapText="1"/>
    </xf>
    <xf numFmtId="0" fontId="21" fillId="0" borderId="0" xfId="0" applyFont="1" applyAlignment="1">
      <alignment wrapText="1"/>
    </xf>
    <xf numFmtId="10" fontId="11" fillId="0" borderId="0" xfId="0" applyNumberFormat="1" applyFont="1" applyAlignment="1">
      <alignment horizontal="left"/>
    </xf>
    <xf numFmtId="3" fontId="12" fillId="0" borderId="0" xfId="0" applyNumberFormat="1" applyFont="1" applyAlignment="1">
      <alignment horizontal="center"/>
    </xf>
    <xf numFmtId="10" fontId="11" fillId="0" borderId="0" xfId="0" applyNumberFormat="1" applyFont="1"/>
    <xf numFmtId="2" fontId="11" fillId="0" borderId="0" xfId="0" applyNumberFormat="1" applyFont="1"/>
    <xf numFmtId="2" fontId="12" fillId="0" borderId="0" xfId="0" applyNumberFormat="1" applyFont="1" applyAlignment="1">
      <alignment horizontal="center"/>
    </xf>
    <xf numFmtId="3" fontId="25" fillId="0" borderId="0" xfId="0" applyNumberFormat="1" applyFont="1"/>
    <xf numFmtId="166" fontId="12" fillId="0" borderId="0" xfId="0" applyNumberFormat="1" applyFont="1" applyAlignment="1">
      <alignment horizontal="center"/>
    </xf>
    <xf numFmtId="3" fontId="25" fillId="0" borderId="0" xfId="0" applyNumberFormat="1" applyFont="1" applyAlignment="1">
      <alignment horizontal="right"/>
    </xf>
    <xf numFmtId="3" fontId="24" fillId="0" borderId="0" xfId="0" applyNumberFormat="1" applyFont="1" applyAlignment="1">
      <alignment horizontal="right"/>
    </xf>
    <xf numFmtId="166" fontId="25" fillId="0" borderId="0" xfId="0" applyNumberFormat="1" applyFont="1" applyAlignment="1">
      <alignment horizontal="center"/>
    </xf>
    <xf numFmtId="3" fontId="25" fillId="0" borderId="0" xfId="0" applyNumberFormat="1" applyFont="1" applyAlignment="1">
      <alignment horizontal="center"/>
    </xf>
    <xf numFmtId="166" fontId="25" fillId="0" borderId="0" xfId="0" applyNumberFormat="1" applyFont="1" applyAlignment="1">
      <alignment horizontal="left"/>
    </xf>
    <xf numFmtId="3" fontId="25" fillId="0" borderId="0" xfId="0" applyNumberFormat="1" applyFont="1" applyAlignment="1">
      <alignment horizontal="left"/>
    </xf>
    <xf numFmtId="3" fontId="20" fillId="0" borderId="0" xfId="0" applyNumberFormat="1" applyFont="1" applyAlignment="1">
      <alignment horizontal="center"/>
    </xf>
    <xf numFmtId="3" fontId="25" fillId="4" borderId="0" xfId="0" applyNumberFormat="1" applyFont="1" applyFill="1" applyAlignment="1">
      <alignment horizontal="center"/>
    </xf>
    <xf numFmtId="3" fontId="12" fillId="0" borderId="0" xfId="0" applyNumberFormat="1" applyFont="1"/>
    <xf numFmtId="3" fontId="12" fillId="4" borderId="0" xfId="0" applyNumberFormat="1" applyFont="1" applyFill="1"/>
    <xf numFmtId="164" fontId="25" fillId="0" borderId="0" xfId="0" applyNumberFormat="1" applyFont="1" applyAlignment="1">
      <alignment horizontal="center"/>
    </xf>
    <xf numFmtId="3" fontId="11" fillId="0" borderId="2" xfId="0" applyNumberFormat="1" applyFont="1" applyBorder="1"/>
    <xf numFmtId="3" fontId="24" fillId="0" borderId="0" xfId="0" applyNumberFormat="1" applyFont="1"/>
    <xf numFmtId="0" fontId="11" fillId="0" borderId="0" xfId="0" applyFont="1" applyAlignment="1">
      <alignment horizontal="left"/>
    </xf>
    <xf numFmtId="3" fontId="11" fillId="0" borderId="0" xfId="0" applyNumberFormat="1" applyFont="1" applyAlignment="1">
      <alignment horizontal="right"/>
    </xf>
    <xf numFmtId="165" fontId="16" fillId="0" borderId="0" xfId="0" applyNumberFormat="1" applyFont="1" applyAlignment="1" applyProtection="1">
      <alignment horizontal="center" wrapText="1"/>
      <protection locked="0"/>
    </xf>
    <xf numFmtId="165" fontId="11" fillId="0" borderId="0" xfId="0" applyNumberFormat="1" applyFont="1" applyProtection="1">
      <protection locked="0"/>
    </xf>
    <xf numFmtId="0" fontId="11" fillId="0" borderId="0" xfId="0" applyFont="1" applyAlignment="1" applyProtection="1">
      <alignment vertical="center"/>
      <protection locked="0"/>
    </xf>
    <xf numFmtId="3" fontId="11" fillId="0" borderId="0" xfId="0" applyNumberFormat="1" applyFont="1" applyAlignment="1" applyProtection="1">
      <alignment vertical="center"/>
      <protection locked="0"/>
    </xf>
    <xf numFmtId="0" fontId="13" fillId="3" borderId="3" xfId="0" applyFont="1" applyFill="1" applyBorder="1" applyAlignment="1" applyProtection="1">
      <alignment vertical="center"/>
      <protection locked="0"/>
    </xf>
    <xf numFmtId="3" fontId="13" fillId="3" borderId="3" xfId="0" applyNumberFormat="1" applyFont="1" applyFill="1" applyBorder="1" applyProtection="1">
      <protection locked="0"/>
    </xf>
    <xf numFmtId="0" fontId="13" fillId="3" borderId="4" xfId="0" applyFont="1" applyFill="1" applyBorder="1" applyAlignment="1" applyProtection="1">
      <alignment vertical="center"/>
      <protection locked="0"/>
    </xf>
    <xf numFmtId="3" fontId="12" fillId="0" borderId="0" xfId="0" applyNumberFormat="1" applyFont="1" applyAlignment="1" applyProtection="1">
      <alignment vertical="center"/>
      <protection locked="0"/>
    </xf>
    <xf numFmtId="165" fontId="11" fillId="0" borderId="0" xfId="0" applyNumberFormat="1" applyFont="1"/>
    <xf numFmtId="165" fontId="12" fillId="0" borderId="0" xfId="0" applyNumberFormat="1" applyFont="1" applyAlignment="1">
      <alignment horizontal="center"/>
    </xf>
    <xf numFmtId="3" fontId="11" fillId="4" borderId="0" xfId="0" applyNumberFormat="1" applyFont="1" applyFill="1"/>
    <xf numFmtId="3" fontId="11" fillId="4" borderId="0" xfId="0" applyNumberFormat="1" applyFont="1" applyFill="1" applyAlignment="1">
      <alignment horizontal="left"/>
    </xf>
    <xf numFmtId="0" fontId="26" fillId="0" borderId="0" xfId="5" applyFont="1" applyAlignment="1">
      <alignment horizontal="center"/>
    </xf>
    <xf numFmtId="0" fontId="9" fillId="0" borderId="0" xfId="5"/>
    <xf numFmtId="0" fontId="11" fillId="0" borderId="0" xfId="5" applyFont="1"/>
    <xf numFmtId="0" fontId="45" fillId="0" borderId="0" xfId="4" applyFont="1" applyBorder="1" applyAlignment="1" applyProtection="1"/>
    <xf numFmtId="0" fontId="46" fillId="0" borderId="0" xfId="4" applyFont="1" applyBorder="1" applyAlignment="1" applyProtection="1"/>
    <xf numFmtId="0" fontId="32" fillId="0" borderId="2" xfId="5" applyFont="1" applyBorder="1" applyAlignment="1">
      <alignment horizontal="right" vertical="center"/>
    </xf>
    <xf numFmtId="0" fontId="32" fillId="0" borderId="0" xfId="5" applyFont="1" applyAlignment="1">
      <alignment horizontal="right" vertical="center"/>
    </xf>
    <xf numFmtId="0" fontId="57" fillId="0" borderId="6" xfId="5" applyFont="1" applyBorder="1" applyAlignment="1">
      <alignment horizontal="left" vertical="center"/>
    </xf>
    <xf numFmtId="0" fontId="50" fillId="0" borderId="0" xfId="5" applyFont="1" applyAlignment="1">
      <alignment horizontal="left"/>
    </xf>
    <xf numFmtId="0" fontId="51" fillId="0" borderId="0" xfId="5" applyFont="1" applyAlignment="1">
      <alignment horizontal="left"/>
    </xf>
    <xf numFmtId="0" fontId="16" fillId="0" borderId="5" xfId="5" applyFont="1" applyBorder="1" applyAlignment="1">
      <alignment horizontal="center"/>
    </xf>
    <xf numFmtId="0" fontId="16" fillId="0" borderId="6" xfId="5" applyFont="1" applyBorder="1" applyAlignment="1">
      <alignment horizontal="center"/>
    </xf>
    <xf numFmtId="0" fontId="9" fillId="0" borderId="5" xfId="5" applyBorder="1" applyProtection="1">
      <protection locked="0"/>
    </xf>
    <xf numFmtId="3" fontId="9" fillId="0" borderId="5" xfId="5" applyNumberFormat="1" applyBorder="1" applyAlignment="1">
      <alignment horizontal="right" vertical="center"/>
    </xf>
    <xf numFmtId="0" fontId="9" fillId="0" borderId="2" xfId="5" applyBorder="1"/>
    <xf numFmtId="0" fontId="9" fillId="0" borderId="14" xfId="5" applyBorder="1"/>
    <xf numFmtId="166" fontId="16" fillId="0" borderId="5" xfId="5" applyNumberFormat="1" applyFont="1" applyBorder="1" applyAlignment="1">
      <alignment horizontal="right"/>
    </xf>
    <xf numFmtId="0" fontId="9" fillId="0" borderId="0" xfId="5" applyAlignment="1">
      <alignment horizontal="left" indent="3"/>
    </xf>
    <xf numFmtId="0" fontId="9" fillId="0" borderId="13" xfId="5" applyBorder="1"/>
    <xf numFmtId="0" fontId="9" fillId="0" borderId="0" xfId="5" applyAlignment="1">
      <alignment horizontal="left"/>
    </xf>
    <xf numFmtId="0" fontId="26" fillId="0" borderId="0" xfId="6" applyFont="1" applyAlignment="1">
      <alignment horizontal="center"/>
    </xf>
    <xf numFmtId="0" fontId="8" fillId="0" borderId="0" xfId="6"/>
    <xf numFmtId="0" fontId="11" fillId="0" borderId="0" xfId="6" applyFont="1"/>
    <xf numFmtId="3" fontId="12" fillId="4" borderId="0" xfId="0" applyNumberFormat="1" applyFont="1" applyFill="1" applyProtection="1">
      <protection locked="0"/>
    </xf>
    <xf numFmtId="2" fontId="12" fillId="4" borderId="0" xfId="0" applyNumberFormat="1" applyFont="1" applyFill="1" applyAlignment="1" applyProtection="1">
      <alignment horizontal="right"/>
      <protection locked="0"/>
    </xf>
    <xf numFmtId="3" fontId="12" fillId="4" borderId="0" xfId="0" applyNumberFormat="1" applyFont="1" applyFill="1" applyAlignment="1" applyProtection="1">
      <alignment horizontal="center"/>
      <protection locked="0"/>
    </xf>
    <xf numFmtId="10" fontId="11" fillId="4" borderId="0" xfId="0" applyNumberFormat="1" applyFont="1" applyFill="1" applyProtection="1">
      <protection locked="0"/>
    </xf>
    <xf numFmtId="2" fontId="11" fillId="4" borderId="0" xfId="0" applyNumberFormat="1" applyFont="1" applyFill="1" applyProtection="1">
      <protection locked="0"/>
    </xf>
    <xf numFmtId="2" fontId="11" fillId="0" borderId="0" xfId="0" applyNumberFormat="1" applyFont="1" applyProtection="1">
      <protection locked="0"/>
    </xf>
    <xf numFmtId="0" fontId="12" fillId="4" borderId="0" xfId="0" applyFont="1" applyFill="1" applyAlignment="1" applyProtection="1">
      <alignment horizontal="center"/>
      <protection locked="0"/>
    </xf>
    <xf numFmtId="3" fontId="12" fillId="4" borderId="0" xfId="0" applyNumberFormat="1" applyFont="1" applyFill="1" applyAlignment="1" applyProtection="1">
      <alignment horizontal="right"/>
      <protection locked="0"/>
    </xf>
    <xf numFmtId="0" fontId="32" fillId="0" borderId="2" xfId="6" applyFont="1" applyBorder="1" applyAlignment="1">
      <alignment horizontal="right" vertical="center"/>
    </xf>
    <xf numFmtId="0" fontId="32" fillId="0" borderId="0" xfId="6" applyFont="1" applyAlignment="1">
      <alignment horizontal="right" vertical="center"/>
    </xf>
    <xf numFmtId="0" fontId="57" fillId="0" borderId="6" xfId="6" applyFont="1" applyBorder="1" applyAlignment="1">
      <alignment horizontal="left" vertical="center"/>
    </xf>
    <xf numFmtId="0" fontId="50" fillId="0" borderId="0" xfId="6" applyFont="1" applyAlignment="1">
      <alignment horizontal="left"/>
    </xf>
    <xf numFmtId="0" fontId="51" fillId="0" borderId="0" xfId="6" applyFont="1" applyAlignment="1">
      <alignment horizontal="left"/>
    </xf>
    <xf numFmtId="0" fontId="51" fillId="0" borderId="0" xfId="6" applyFont="1" applyAlignment="1">
      <alignment horizontal="left" vertical="top"/>
    </xf>
    <xf numFmtId="0" fontId="16" fillId="0" borderId="5" xfId="6" applyFont="1" applyBorder="1" applyAlignment="1">
      <alignment horizontal="center"/>
    </xf>
    <xf numFmtId="0" fontId="16" fillId="0" borderId="6" xfId="6" applyFont="1" applyBorder="1" applyAlignment="1">
      <alignment horizontal="center"/>
    </xf>
    <xf numFmtId="0" fontId="8" fillId="0" borderId="5" xfId="6" applyBorder="1" applyProtection="1">
      <protection locked="0"/>
    </xf>
    <xf numFmtId="3" fontId="8" fillId="0" borderId="5" xfId="6" applyNumberFormat="1" applyBorder="1" applyAlignment="1">
      <alignment horizontal="right" vertical="center"/>
    </xf>
    <xf numFmtId="0" fontId="8" fillId="0" borderId="2" xfId="6" applyBorder="1"/>
    <xf numFmtId="0" fontId="8" fillId="0" borderId="14" xfId="6" applyBorder="1"/>
    <xf numFmtId="166" fontId="16" fillId="0" borderId="5" xfId="6" applyNumberFormat="1" applyFont="1" applyBorder="1" applyAlignment="1">
      <alignment horizontal="right"/>
    </xf>
    <xf numFmtId="0" fontId="8" fillId="0" borderId="0" xfId="6" applyAlignment="1">
      <alignment horizontal="left" indent="3"/>
    </xf>
    <xf numFmtId="0" fontId="8" fillId="0" borderId="0" xfId="6" applyAlignment="1">
      <alignment horizontal="left" indent="6"/>
    </xf>
    <xf numFmtId="0" fontId="16" fillId="0" borderId="0" xfId="6" applyFont="1"/>
    <xf numFmtId="0" fontId="16" fillId="0" borderId="0" xfId="6" applyFont="1" applyAlignment="1">
      <alignment horizontal="left" indent="3"/>
    </xf>
    <xf numFmtId="0" fontId="11" fillId="0" borderId="0" xfId="3" applyFont="1" applyAlignment="1" applyProtection="1">
      <alignment horizontal="right"/>
    </xf>
    <xf numFmtId="0" fontId="60" fillId="0" borderId="0" xfId="3" applyFont="1" applyAlignment="1" applyProtection="1"/>
    <xf numFmtId="2" fontId="11" fillId="4" borderId="0" xfId="0" applyNumberFormat="1" applyFont="1" applyFill="1"/>
    <xf numFmtId="0" fontId="7" fillId="0" borderId="0" xfId="5" applyFont="1" applyAlignment="1">
      <alignment horizontal="left" indent="6"/>
    </xf>
    <xf numFmtId="0" fontId="7" fillId="0" borderId="0" xfId="5" applyFont="1"/>
    <xf numFmtId="3" fontId="8" fillId="0" borderId="5" xfId="6" applyNumberFormat="1" applyBorder="1" applyAlignment="1" applyProtection="1">
      <alignment horizontal="right" vertical="top" wrapText="1"/>
      <protection locked="0"/>
    </xf>
    <xf numFmtId="3" fontId="9" fillId="0" borderId="5" xfId="5" applyNumberFormat="1" applyBorder="1" applyAlignment="1" applyProtection="1">
      <alignment horizontal="right" vertical="top" wrapText="1"/>
      <protection locked="0"/>
    </xf>
    <xf numFmtId="166" fontId="11" fillId="0" borderId="0" xfId="0" applyNumberFormat="1" applyFont="1"/>
    <xf numFmtId="0" fontId="21" fillId="0" borderId="0" xfId="1" applyFont="1" applyAlignment="1">
      <alignment horizontal="left" vertical="top"/>
    </xf>
    <xf numFmtId="0" fontId="11" fillId="0" borderId="0" xfId="1" applyFont="1" applyAlignment="1">
      <alignment horizontal="right" vertical="top"/>
    </xf>
    <xf numFmtId="0" fontId="13" fillId="2" borderId="0" xfId="0" applyFont="1" applyFill="1" applyAlignment="1">
      <alignment horizontal="center" wrapText="1"/>
    </xf>
    <xf numFmtId="0" fontId="13" fillId="2" borderId="2" xfId="0" applyFont="1" applyFill="1" applyBorder="1" applyAlignment="1">
      <alignment horizontal="center" wrapText="1"/>
    </xf>
    <xf numFmtId="0" fontId="16" fillId="2" borderId="2" xfId="0" applyFont="1" applyFill="1" applyBorder="1" applyAlignment="1">
      <alignment horizontal="center" wrapText="1"/>
    </xf>
    <xf numFmtId="0" fontId="11" fillId="0" borderId="0" xfId="1" applyFont="1" applyAlignment="1">
      <alignment horizontal="left" vertical="top" indent="1"/>
    </xf>
    <xf numFmtId="0" fontId="20" fillId="2" borderId="0" xfId="0" applyFont="1" applyFill="1" applyAlignment="1">
      <alignment horizontal="center" wrapText="1"/>
    </xf>
    <xf numFmtId="3" fontId="12" fillId="0" borderId="0" xfId="0" applyNumberFormat="1" applyFont="1" applyAlignment="1">
      <alignment vertical="center"/>
    </xf>
    <xf numFmtId="0" fontId="12" fillId="0" borderId="0" xfId="0" applyFont="1" applyAlignment="1">
      <alignment vertical="center"/>
    </xf>
    <xf numFmtId="165" fontId="11" fillId="0" borderId="0" xfId="0" applyNumberFormat="1" applyFont="1" applyAlignment="1" applyProtection="1">
      <alignment horizontal="right"/>
      <protection locked="0"/>
    </xf>
    <xf numFmtId="0" fontId="13" fillId="0" borderId="0" xfId="0" applyFont="1"/>
    <xf numFmtId="0" fontId="13" fillId="0" borderId="3" xfId="0" applyFont="1" applyBorder="1" applyAlignment="1">
      <alignment vertical="center"/>
    </xf>
    <xf numFmtId="0" fontId="11" fillId="0" borderId="3" xfId="0" applyFont="1" applyBorder="1" applyAlignment="1">
      <alignment vertical="center"/>
    </xf>
    <xf numFmtId="3" fontId="12" fillId="0" borderId="0" xfId="0" applyNumberFormat="1" applyFont="1" applyProtection="1">
      <protection locked="0"/>
    </xf>
    <xf numFmtId="0" fontId="12" fillId="0" borderId="0" xfId="0" applyFont="1" applyAlignment="1">
      <alignment horizontal="left" vertical="center" indent="1"/>
    </xf>
    <xf numFmtId="0" fontId="12" fillId="0" borderId="0" xfId="1" applyFont="1" applyAlignment="1">
      <alignment horizontal="right" vertical="top"/>
    </xf>
    <xf numFmtId="0" fontId="13" fillId="3" borderId="3" xfId="0" applyFont="1" applyFill="1" applyBorder="1" applyAlignment="1">
      <alignment vertical="center"/>
    </xf>
    <xf numFmtId="0" fontId="11" fillId="3" borderId="3" xfId="0" applyFont="1" applyFill="1" applyBorder="1" applyAlignment="1">
      <alignment vertical="center"/>
    </xf>
    <xf numFmtId="3" fontId="13" fillId="3" borderId="3" xfId="0" applyNumberFormat="1" applyFont="1" applyFill="1" applyBorder="1" applyAlignment="1">
      <alignment vertical="center"/>
    </xf>
    <xf numFmtId="3" fontId="11" fillId="3" borderId="3" xfId="0" applyNumberFormat="1" applyFont="1" applyFill="1" applyBorder="1" applyAlignment="1">
      <alignment vertical="center"/>
    </xf>
    <xf numFmtId="0" fontId="13" fillId="3" borderId="3" xfId="1" applyFont="1" applyFill="1" applyBorder="1" applyAlignment="1" applyProtection="1">
      <alignment horizontal="left" vertical="top"/>
      <protection locked="0"/>
    </xf>
    <xf numFmtId="3" fontId="16" fillId="3" borderId="3" xfId="0" applyNumberFormat="1" applyFont="1" applyFill="1" applyBorder="1" applyAlignment="1" applyProtection="1">
      <alignment horizontal="center" wrapText="1"/>
      <protection locked="0"/>
    </xf>
    <xf numFmtId="10" fontId="11" fillId="0" borderId="0" xfId="1" applyNumberFormat="1" applyFont="1" applyAlignment="1">
      <alignment horizontal="left" vertical="top" indent="2"/>
    </xf>
    <xf numFmtId="3" fontId="13" fillId="0" borderId="0" xfId="0" applyNumberFormat="1" applyFont="1" applyAlignment="1">
      <alignment horizontal="left"/>
    </xf>
    <xf numFmtId="10" fontId="12" fillId="0" borderId="0" xfId="0" applyNumberFormat="1" applyFont="1" applyAlignment="1">
      <alignment vertical="center"/>
    </xf>
    <xf numFmtId="0" fontId="12" fillId="0" borderId="0" xfId="0" applyFont="1" applyAlignment="1">
      <alignment horizontal="left" vertical="center"/>
    </xf>
    <xf numFmtId="3" fontId="20" fillId="0" borderId="0" xfId="0" applyNumberFormat="1" applyFont="1" applyAlignment="1">
      <alignment horizontal="left"/>
    </xf>
    <xf numFmtId="3" fontId="13" fillId="0" borderId="0" xfId="0" applyNumberFormat="1" applyFont="1" applyAlignment="1">
      <alignment horizontal="center"/>
    </xf>
    <xf numFmtId="0" fontId="12" fillId="0" borderId="0" xfId="1" applyFont="1" applyAlignment="1">
      <alignment horizontal="left" vertical="top" indent="2"/>
    </xf>
    <xf numFmtId="0" fontId="12" fillId="0" borderId="0" xfId="0" applyFont="1" applyAlignment="1">
      <alignment horizontal="center"/>
    </xf>
    <xf numFmtId="2" fontId="11" fillId="4" borderId="0" xfId="0" applyNumberFormat="1" applyFont="1" applyFill="1" applyAlignment="1">
      <alignment horizontal="right"/>
    </xf>
    <xf numFmtId="3" fontId="21" fillId="0" borderId="0" xfId="0" applyNumberFormat="1" applyFont="1" applyAlignment="1">
      <alignment horizontal="right"/>
    </xf>
    <xf numFmtId="3" fontId="11" fillId="0" borderId="0" xfId="0" applyNumberFormat="1" applyFont="1" applyProtection="1">
      <protection locked="0"/>
    </xf>
    <xf numFmtId="0" fontId="25" fillId="0" borderId="0" xfId="0" applyFont="1"/>
    <xf numFmtId="3" fontId="62" fillId="0" borderId="0" xfId="0" applyNumberFormat="1" applyFont="1" applyAlignment="1">
      <alignment horizontal="right"/>
    </xf>
    <xf numFmtId="3" fontId="63" fillId="0" borderId="0" xfId="0" applyNumberFormat="1" applyFont="1" applyAlignment="1">
      <alignment horizontal="right"/>
    </xf>
    <xf numFmtId="3" fontId="62" fillId="0" borderId="0" xfId="0" applyNumberFormat="1" applyFont="1"/>
    <xf numFmtId="0" fontId="16" fillId="0" borderId="1" xfId="0" applyFont="1" applyBorder="1" applyAlignment="1">
      <alignment horizontal="center" vertical="center" wrapText="1"/>
    </xf>
    <xf numFmtId="3" fontId="64" fillId="0" borderId="1" xfId="0" applyNumberFormat="1" applyFont="1" applyBorder="1" applyAlignment="1">
      <alignment horizontal="center" vertical="center"/>
    </xf>
    <xf numFmtId="0" fontId="64" fillId="0" borderId="1" xfId="0" applyFont="1" applyBorder="1" applyAlignment="1">
      <alignment horizontal="center" vertical="center" wrapText="1"/>
    </xf>
    <xf numFmtId="0" fontId="64" fillId="0" borderId="1" xfId="0" applyFont="1" applyBorder="1" applyAlignment="1">
      <alignment horizontal="center" vertical="center"/>
    </xf>
    <xf numFmtId="3" fontId="25" fillId="0" borderId="0" xfId="0" applyNumberFormat="1" applyFont="1" applyAlignment="1">
      <alignment vertical="center"/>
    </xf>
    <xf numFmtId="3" fontId="25" fillId="0" borderId="2" xfId="0" applyNumberFormat="1" applyFont="1" applyBorder="1" applyAlignment="1">
      <alignment vertical="center"/>
    </xf>
    <xf numFmtId="0" fontId="64" fillId="0" borderId="1" xfId="0" applyFont="1" applyBorder="1"/>
    <xf numFmtId="166" fontId="25" fillId="4" borderId="0" xfId="0" applyNumberFormat="1" applyFont="1" applyFill="1" applyAlignment="1">
      <alignment horizontal="center"/>
    </xf>
    <xf numFmtId="3" fontId="12" fillId="4" borderId="6" xfId="0" applyNumberFormat="1" applyFont="1" applyFill="1" applyBorder="1" applyAlignment="1">
      <alignment horizontal="center"/>
    </xf>
    <xf numFmtId="0" fontId="12" fillId="4" borderId="9" xfId="0" applyFont="1" applyFill="1" applyBorder="1" applyAlignment="1">
      <alignment horizontal="center"/>
    </xf>
    <xf numFmtId="3" fontId="12" fillId="4" borderId="10" xfId="0" applyNumberFormat="1" applyFont="1" applyFill="1" applyBorder="1"/>
    <xf numFmtId="10" fontId="12" fillId="4" borderId="7" xfId="0" applyNumberFormat="1" applyFont="1" applyFill="1" applyBorder="1"/>
    <xf numFmtId="3" fontId="12" fillId="4" borderId="11" xfId="0" applyNumberFormat="1" applyFont="1" applyFill="1" applyBorder="1"/>
    <xf numFmtId="3" fontId="12" fillId="4" borderId="12" xfId="0" applyNumberFormat="1" applyFont="1" applyFill="1" applyBorder="1"/>
    <xf numFmtId="10" fontId="12" fillId="4" borderId="8" xfId="0" applyNumberFormat="1" applyFont="1" applyFill="1" applyBorder="1"/>
    <xf numFmtId="0" fontId="20" fillId="0" borderId="0" xfId="0" applyFont="1" applyAlignment="1">
      <alignment horizontal="left"/>
    </xf>
    <xf numFmtId="0" fontId="66" fillId="0" borderId="0" xfId="0" applyFont="1" applyAlignment="1">
      <alignment horizontal="left"/>
    </xf>
    <xf numFmtId="168" fontId="66" fillId="0" borderId="0" xfId="8" applyNumberFormat="1" applyFont="1" applyAlignment="1">
      <alignment horizontal="right"/>
    </xf>
    <xf numFmtId="0" fontId="66" fillId="0" borderId="0" xfId="0" applyFont="1" applyAlignment="1">
      <alignment horizontal="center"/>
    </xf>
    <xf numFmtId="0" fontId="0" fillId="0" borderId="0" xfId="0" applyAlignment="1">
      <alignment horizontal="left"/>
    </xf>
    <xf numFmtId="0" fontId="66" fillId="0" borderId="5" xfId="7" applyNumberFormat="1" applyFont="1" applyBorder="1" applyAlignment="1">
      <alignment vertical="center"/>
    </xf>
    <xf numFmtId="0" fontId="0" fillId="0" borderId="0" xfId="0" applyAlignment="1">
      <alignment vertical="center"/>
    </xf>
    <xf numFmtId="0" fontId="67" fillId="0" borderId="0" xfId="0" applyFont="1" applyAlignment="1">
      <alignment wrapText="1"/>
    </xf>
    <xf numFmtId="0" fontId="66" fillId="0" borderId="5" xfId="7" applyNumberFormat="1" applyFont="1" applyBorder="1" applyAlignment="1">
      <alignment vertical="center" wrapText="1"/>
    </xf>
    <xf numFmtId="0" fontId="66" fillId="13" borderId="6" xfId="7" applyNumberFormat="1" applyFont="1" applyFill="1" applyBorder="1" applyAlignment="1">
      <alignment vertical="center"/>
    </xf>
    <xf numFmtId="0" fontId="66" fillId="13" borderId="3" xfId="7" applyNumberFormat="1" applyFont="1" applyFill="1" applyBorder="1" applyAlignment="1">
      <alignment vertical="center"/>
    </xf>
    <xf numFmtId="0" fontId="66" fillId="13" borderId="9" xfId="7" applyNumberFormat="1" applyFont="1" applyFill="1" applyBorder="1" applyAlignment="1">
      <alignment vertical="center"/>
    </xf>
    <xf numFmtId="0" fontId="66" fillId="0" borderId="0" xfId="8" applyNumberFormat="1" applyFont="1" applyAlignment="1">
      <alignment horizontal="right"/>
    </xf>
    <xf numFmtId="3" fontId="66" fillId="0" borderId="5" xfId="7" applyNumberFormat="1" applyFont="1" applyBorder="1" applyAlignment="1">
      <alignment horizontal="center" vertical="center"/>
    </xf>
    <xf numFmtId="166" fontId="66" fillId="0" borderId="5" xfId="7" applyNumberFormat="1" applyFont="1" applyBorder="1" applyAlignment="1">
      <alignment vertical="center"/>
    </xf>
    <xf numFmtId="164" fontId="66" fillId="0" borderId="5" xfId="7" applyNumberFormat="1" applyFont="1" applyBorder="1" applyAlignment="1">
      <alignment vertical="center"/>
    </xf>
    <xf numFmtId="166" fontId="68" fillId="0" borderId="5" xfId="7" applyNumberFormat="1" applyFont="1" applyBorder="1" applyAlignment="1">
      <alignment vertical="center"/>
    </xf>
    <xf numFmtId="5" fontId="66" fillId="0" borderId="5" xfId="7" applyNumberFormat="1" applyFont="1" applyBorder="1" applyAlignment="1">
      <alignment vertical="center"/>
    </xf>
    <xf numFmtId="0" fontId="68" fillId="0" borderId="5" xfId="7" applyNumberFormat="1" applyFont="1" applyBorder="1" applyAlignment="1">
      <alignment horizontal="left"/>
    </xf>
    <xf numFmtId="0" fontId="68" fillId="0" borderId="5" xfId="7" applyNumberFormat="1" applyFont="1" applyBorder="1" applyAlignment="1">
      <alignment horizontal="center" wrapText="1"/>
    </xf>
    <xf numFmtId="3" fontId="68" fillId="0" borderId="5" xfId="7" applyNumberFormat="1" applyFont="1" applyBorder="1" applyAlignment="1">
      <alignment horizontal="center"/>
    </xf>
    <xf numFmtId="0" fontId="68" fillId="0" borderId="5" xfId="7" applyNumberFormat="1" applyFont="1" applyBorder="1" applyAlignment="1">
      <alignment horizontal="center"/>
    </xf>
    <xf numFmtId="0" fontId="68" fillId="0" borderId="5" xfId="7" applyNumberFormat="1" applyFont="1" applyBorder="1" applyAlignment="1"/>
    <xf numFmtId="0" fontId="68" fillId="0" borderId="5" xfId="7" applyNumberFormat="1" applyFont="1" applyBorder="1" applyAlignment="1">
      <alignment horizontal="center" vertical="center" wrapText="1"/>
    </xf>
    <xf numFmtId="0" fontId="69" fillId="0" borderId="0" xfId="0" applyFont="1" applyAlignment="1">
      <alignment vertical="top" wrapText="1"/>
    </xf>
    <xf numFmtId="0" fontId="70" fillId="0" borderId="0" xfId="0" applyFont="1" applyAlignment="1">
      <alignment horizontal="center"/>
    </xf>
    <xf numFmtId="0" fontId="71" fillId="0" borderId="0" xfId="0" applyFont="1"/>
    <xf numFmtId="0" fontId="72" fillId="0" borderId="0" xfId="0" applyFont="1"/>
    <xf numFmtId="0" fontId="71" fillId="0" borderId="0" xfId="0" applyFont="1" applyAlignment="1">
      <alignment vertical="top" wrapText="1"/>
    </xf>
    <xf numFmtId="0" fontId="26" fillId="0" borderId="0" xfId="0" applyFont="1" applyAlignment="1">
      <alignment horizontal="center"/>
    </xf>
    <xf numFmtId="0" fontId="33" fillId="0" borderId="0" xfId="0" applyFont="1"/>
    <xf numFmtId="0" fontId="38" fillId="0" borderId="0" xfId="0" applyFont="1"/>
    <xf numFmtId="0" fontId="33" fillId="0" borderId="0" xfId="0" applyFont="1" applyAlignment="1">
      <alignment horizontal="center" wrapText="1"/>
    </xf>
    <xf numFmtId="0" fontId="39" fillId="0" borderId="0" xfId="0" applyFont="1"/>
    <xf numFmtId="0" fontId="40" fillId="0" borderId="0" xfId="0" applyFont="1"/>
    <xf numFmtId="0" fontId="35" fillId="0" borderId="0" xfId="0" applyFont="1" applyAlignment="1">
      <alignment vertical="center"/>
    </xf>
    <xf numFmtId="0" fontId="0" fillId="0" borderId="13" xfId="0" applyBorder="1" applyAlignment="1">
      <alignment horizontal="center" vertical="center"/>
    </xf>
    <xf numFmtId="0" fontId="47" fillId="0" borderId="0" xfId="0" applyFont="1" applyAlignment="1" applyProtection="1">
      <alignment horizontal="left" vertical="top"/>
      <protection locked="0"/>
    </xf>
    <xf numFmtId="0" fontId="47" fillId="0" borderId="1" xfId="0" applyFont="1" applyBorder="1" applyAlignment="1" applyProtection="1">
      <alignment horizontal="left" vertical="center"/>
      <protection locked="0"/>
    </xf>
    <xf numFmtId="9" fontId="48" fillId="0" borderId="2" xfId="0" applyNumberFormat="1" applyFont="1" applyBorder="1" applyAlignment="1" applyProtection="1">
      <alignment horizontal="center"/>
      <protection locked="0"/>
    </xf>
    <xf numFmtId="9" fontId="48" fillId="0" borderId="3" xfId="0" applyNumberFormat="1" applyFont="1" applyBorder="1" applyAlignment="1" applyProtection="1">
      <alignment horizontal="center"/>
      <protection locked="0"/>
    </xf>
    <xf numFmtId="0" fontId="35" fillId="0" borderId="0" xfId="0" applyFont="1"/>
    <xf numFmtId="0" fontId="29" fillId="0" borderId="0" xfId="0" applyFont="1"/>
    <xf numFmtId="0" fontId="35" fillId="0" borderId="0" xfId="0" applyFont="1" applyProtection="1">
      <protection locked="0"/>
    </xf>
    <xf numFmtId="0" fontId="50" fillId="0" borderId="2" xfId="0" applyFont="1" applyBorder="1" applyAlignment="1" applyProtection="1">
      <alignment horizontal="center" vertical="center"/>
      <protection locked="0"/>
    </xf>
    <xf numFmtId="0" fontId="50" fillId="0" borderId="0" xfId="0" applyFont="1" applyAlignment="1" applyProtection="1">
      <alignment horizontal="left" vertical="center"/>
      <protection locked="0"/>
    </xf>
    <xf numFmtId="9" fontId="51" fillId="0" borderId="0" xfId="0" applyNumberFormat="1" applyFont="1" applyAlignment="1" applyProtection="1">
      <alignment horizontal="center"/>
      <protection locked="0"/>
    </xf>
    <xf numFmtId="9" fontId="51" fillId="0" borderId="1" xfId="0" applyNumberFormat="1" applyFont="1" applyBorder="1" applyAlignment="1" applyProtection="1">
      <alignment horizontal="center"/>
      <protection locked="0"/>
    </xf>
    <xf numFmtId="0" fontId="50" fillId="0" borderId="0" xfId="0" applyFont="1" applyAlignment="1" applyProtection="1">
      <alignment vertical="center"/>
      <protection locked="0"/>
    </xf>
    <xf numFmtId="0" fontId="51" fillId="0" borderId="0" xfId="0" applyFont="1" applyAlignment="1" applyProtection="1">
      <alignment horizontal="center" vertical="top"/>
      <protection locked="0"/>
    </xf>
    <xf numFmtId="0" fontId="51" fillId="0" borderId="1" xfId="0" applyFont="1" applyBorder="1" applyAlignment="1" applyProtection="1">
      <alignment horizontal="center" vertical="top"/>
      <protection locked="0"/>
    </xf>
    <xf numFmtId="0" fontId="51" fillId="0" borderId="0" xfId="0" applyFont="1" applyAlignment="1" applyProtection="1">
      <alignment vertical="top"/>
      <protection locked="0"/>
    </xf>
    <xf numFmtId="0" fontId="35" fillId="0" borderId="0" xfId="0" applyFont="1" applyAlignment="1" applyProtection="1">
      <alignment vertical="top"/>
      <protection locked="0"/>
    </xf>
    <xf numFmtId="0" fontId="50" fillId="0" borderId="2" xfId="0" applyFont="1" applyBorder="1" applyAlignment="1" applyProtection="1">
      <alignment horizontal="center" vertical="top"/>
      <protection locked="0"/>
    </xf>
    <xf numFmtId="0" fontId="35" fillId="0" borderId="1" xfId="0" applyFont="1" applyBorder="1" applyProtection="1">
      <protection locked="0"/>
    </xf>
    <xf numFmtId="0" fontId="50" fillId="0" borderId="0" xfId="0" applyFont="1" applyAlignment="1" applyProtection="1">
      <alignment horizontal="left" vertical="top"/>
      <protection locked="0"/>
    </xf>
    <xf numFmtId="0" fontId="34" fillId="0" borderId="5" xfId="0" applyFont="1" applyBorder="1" applyAlignment="1">
      <alignment horizontal="center" vertical="center"/>
    </xf>
    <xf numFmtId="0" fontId="35" fillId="0" borderId="0" xfId="0" applyFont="1" applyAlignment="1">
      <alignment horizontal="left" wrapText="1"/>
    </xf>
    <xf numFmtId="0" fontId="35" fillId="0" borderId="15" xfId="0" applyFont="1" applyBorder="1" applyAlignment="1">
      <alignment horizontal="center" vertical="center"/>
    </xf>
    <xf numFmtId="0" fontId="35" fillId="0" borderId="0" xfId="0" applyFont="1" applyAlignment="1">
      <alignment horizontal="center" vertical="center"/>
    </xf>
    <xf numFmtId="0" fontId="35" fillId="0" borderId="7" xfId="0" applyFont="1" applyBorder="1" applyAlignment="1">
      <alignment horizontal="center" vertical="center"/>
    </xf>
    <xf numFmtId="0" fontId="35" fillId="0" borderId="6"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0" fontId="52" fillId="0" borderId="0" xfId="0" applyFont="1"/>
    <xf numFmtId="0" fontId="53" fillId="0" borderId="0" xfId="0" applyFont="1"/>
    <xf numFmtId="0" fontId="35" fillId="0" borderId="6" xfId="0" applyFont="1" applyBorder="1" applyAlignment="1" applyProtection="1">
      <alignment horizontal="left" vertical="center"/>
      <protection locked="0"/>
    </xf>
    <xf numFmtId="0" fontId="35" fillId="0" borderId="9" xfId="0" applyFont="1" applyBorder="1" applyAlignment="1" applyProtection="1">
      <alignment horizontal="left" vertical="center"/>
      <protection locked="0"/>
    </xf>
    <xf numFmtId="3" fontId="35" fillId="0" borderId="5" xfId="0" applyNumberFormat="1" applyFont="1" applyBorder="1" applyAlignment="1" applyProtection="1">
      <alignment horizontal="center" vertical="center"/>
      <protection locked="0"/>
    </xf>
    <xf numFmtId="3" fontId="35" fillId="0" borderId="5" xfId="0" applyNumberFormat="1" applyFont="1" applyBorder="1" applyAlignment="1" applyProtection="1">
      <alignment horizontal="right" vertical="center"/>
      <protection locked="0"/>
    </xf>
    <xf numFmtId="3" fontId="34" fillId="0" borderId="5" xfId="0" applyNumberFormat="1" applyFont="1" applyBorder="1" applyAlignment="1">
      <alignment horizontal="right" vertical="center"/>
    </xf>
    <xf numFmtId="0" fontId="34" fillId="0" borderId="0" xfId="0" applyFont="1"/>
    <xf numFmtId="0" fontId="54" fillId="0" borderId="0" xfId="0" applyFont="1"/>
    <xf numFmtId="0" fontId="52" fillId="0" borderId="0" xfId="0" applyFont="1" applyAlignment="1">
      <alignment horizontal="center"/>
    </xf>
    <xf numFmtId="0" fontId="52" fillId="0" borderId="0" xfId="0" applyFont="1" applyAlignment="1">
      <alignment horizontal="right"/>
    </xf>
    <xf numFmtId="10" fontId="35" fillId="0" borderId="0" xfId="0" applyNumberFormat="1" applyFont="1"/>
    <xf numFmtId="0" fontId="34" fillId="0" borderId="0" xfId="0" applyFont="1" applyAlignment="1">
      <alignment horizontal="right"/>
    </xf>
    <xf numFmtId="10" fontId="33" fillId="0" borderId="0" xfId="0" applyNumberFormat="1" applyFont="1" applyAlignment="1">
      <alignment horizontal="right"/>
    </xf>
    <xf numFmtId="166" fontId="35" fillId="0" borderId="0" xfId="0" applyNumberFormat="1" applyFont="1" applyAlignment="1">
      <alignment horizontal="center"/>
    </xf>
    <xf numFmtId="166" fontId="0" fillId="0" borderId="0" xfId="0" applyNumberFormat="1"/>
    <xf numFmtId="0" fontId="35" fillId="0" borderId="5" xfId="0" applyFont="1" applyBorder="1" applyAlignment="1" applyProtection="1">
      <alignment horizontal="center" vertical="center"/>
      <protection locked="0"/>
    </xf>
    <xf numFmtId="1" fontId="35" fillId="0" borderId="5" xfId="0" applyNumberFormat="1" applyFont="1" applyBorder="1" applyAlignment="1" applyProtection="1">
      <alignment horizontal="center" vertical="center"/>
      <protection locked="0"/>
    </xf>
    <xf numFmtId="3" fontId="35" fillId="0" borderId="0" xfId="0" applyNumberFormat="1" applyFont="1"/>
    <xf numFmtId="0" fontId="33" fillId="0" borderId="0" xfId="0" applyFont="1" applyAlignment="1">
      <alignment horizontal="right"/>
    </xf>
    <xf numFmtId="0" fontId="22" fillId="0" borderId="0" xfId="0" applyFont="1" applyAlignment="1">
      <alignment vertical="center"/>
    </xf>
    <xf numFmtId="0" fontId="11" fillId="0" borderId="0" xfId="0" applyFont="1" applyAlignment="1">
      <alignment horizontal="left" wrapText="1"/>
    </xf>
    <xf numFmtId="0" fontId="22" fillId="0" borderId="0" xfId="0" applyFont="1"/>
    <xf numFmtId="0" fontId="22" fillId="0" borderId="1" xfId="0" applyFont="1" applyBorder="1" applyAlignment="1">
      <alignment vertical="center"/>
    </xf>
    <xf numFmtId="0" fontId="11" fillId="0" borderId="1" xfId="0" applyFont="1" applyBorder="1" applyAlignment="1">
      <alignment horizontal="left" wrapText="1"/>
    </xf>
    <xf numFmtId="0" fontId="11" fillId="0" borderId="1" xfId="0" applyFont="1" applyBorder="1" applyAlignment="1">
      <alignment horizontal="left"/>
    </xf>
    <xf numFmtId="0" fontId="37" fillId="0" borderId="0" xfId="0" applyFont="1" applyAlignment="1" applyProtection="1">
      <alignment vertical="center"/>
      <protection locked="0"/>
    </xf>
    <xf numFmtId="0" fontId="37" fillId="0" borderId="7" xfId="0" applyFont="1" applyBorder="1" applyAlignment="1" applyProtection="1">
      <alignment horizontal="center" vertical="center"/>
      <protection locked="0"/>
    </xf>
    <xf numFmtId="0" fontId="37" fillId="0" borderId="15" xfId="0" applyFont="1" applyBorder="1" applyAlignment="1" applyProtection="1">
      <alignment horizontal="center" vertical="center"/>
      <protection locked="0"/>
    </xf>
    <xf numFmtId="4" fontId="11" fillId="0" borderId="0" xfId="0" quotePrefix="1" applyNumberFormat="1" applyFont="1" applyAlignment="1">
      <alignment horizontal="right"/>
    </xf>
    <xf numFmtId="4" fontId="11" fillId="0" borderId="0" xfId="0" applyNumberFormat="1" applyFont="1" applyAlignment="1">
      <alignment horizontal="right"/>
    </xf>
    <xf numFmtId="0" fontId="31" fillId="0" borderId="0" xfId="2" applyFont="1" applyAlignment="1">
      <alignment horizontal="left" vertical="center" wrapText="1"/>
    </xf>
    <xf numFmtId="0" fontId="31" fillId="0" borderId="0" xfId="2" applyFont="1"/>
    <xf numFmtId="3" fontId="6" fillId="0" borderId="0" xfId="2" applyNumberFormat="1" applyFont="1" applyAlignment="1">
      <alignment vertical="center"/>
    </xf>
    <xf numFmtId="0" fontId="6" fillId="0" borderId="0" xfId="2" applyFont="1"/>
    <xf numFmtId="0" fontId="31" fillId="0" borderId="0" xfId="2" applyFont="1" applyAlignment="1">
      <alignment vertical="center"/>
    </xf>
    <xf numFmtId="0" fontId="6" fillId="0" borderId="0" xfId="2" quotePrefix="1" applyFont="1" applyAlignment="1" applyProtection="1">
      <alignment vertical="center" wrapText="1"/>
      <protection locked="0"/>
    </xf>
    <xf numFmtId="0" fontId="3" fillId="0" borderId="0" xfId="2" applyFont="1" applyAlignment="1">
      <alignment wrapText="1"/>
    </xf>
    <xf numFmtId="0" fontId="3" fillId="0" borderId="0" xfId="2" applyFont="1" applyAlignment="1">
      <alignment vertical="center"/>
    </xf>
    <xf numFmtId="0" fontId="3" fillId="0" borderId="0" xfId="2" applyFont="1"/>
    <xf numFmtId="0" fontId="3" fillId="0" borderId="0" xfId="2" applyFont="1" applyAlignment="1">
      <alignment horizontal="right" vertical="center"/>
    </xf>
    <xf numFmtId="0" fontId="31" fillId="0" borderId="15" xfId="2" applyFont="1" applyBorder="1" applyAlignment="1">
      <alignment horizontal="left" vertical="center" wrapText="1"/>
    </xf>
    <xf numFmtId="0" fontId="6" fillId="0" borderId="0" xfId="2" applyFont="1" applyAlignment="1" applyProtection="1">
      <alignment wrapText="1" shrinkToFit="1"/>
      <protection locked="0"/>
    </xf>
    <xf numFmtId="0" fontId="31" fillId="0" borderId="0" xfId="2" applyFont="1" applyAlignment="1">
      <alignment horizontal="center"/>
    </xf>
    <xf numFmtId="0" fontId="6" fillId="0" borderId="0" xfId="2" applyFont="1" applyAlignment="1" applyProtection="1">
      <alignment vertical="center"/>
      <protection locked="0"/>
    </xf>
    <xf numFmtId="0" fontId="31" fillId="0" borderId="1" xfId="2" applyFont="1" applyBorder="1"/>
    <xf numFmtId="0" fontId="6" fillId="0" borderId="15" xfId="2" applyFont="1" applyBorder="1"/>
    <xf numFmtId="0" fontId="31" fillId="0" borderId="13" xfId="2" applyFont="1" applyBorder="1" applyAlignment="1">
      <alignment vertical="center" wrapText="1"/>
    </xf>
    <xf numFmtId="0" fontId="6" fillId="0" borderId="16" xfId="2" applyFont="1" applyBorder="1"/>
    <xf numFmtId="0" fontId="0" fillId="0" borderId="7" xfId="0" applyBorder="1"/>
    <xf numFmtId="0" fontId="6" fillId="0" borderId="2" xfId="2" quotePrefix="1" applyFont="1" applyBorder="1" applyAlignment="1" applyProtection="1">
      <alignment vertical="center" wrapText="1"/>
      <protection locked="0"/>
    </xf>
    <xf numFmtId="0" fontId="31" fillId="0" borderId="2" xfId="2" applyFont="1" applyBorder="1"/>
    <xf numFmtId="0" fontId="6" fillId="0" borderId="1" xfId="2" applyFont="1" applyBorder="1"/>
    <xf numFmtId="9" fontId="11" fillId="0" borderId="0" xfId="0" applyNumberFormat="1" applyFont="1" applyAlignment="1">
      <alignment horizontal="right"/>
    </xf>
    <xf numFmtId="3" fontId="22" fillId="0" borderId="0" xfId="0" applyNumberFormat="1" applyFont="1" applyAlignment="1">
      <alignment vertical="center"/>
    </xf>
    <xf numFmtId="0" fontId="2" fillId="0" borderId="0" xfId="2" applyFont="1"/>
    <xf numFmtId="3" fontId="12" fillId="0" borderId="1" xfId="0" applyNumberFormat="1" applyFont="1" applyBorder="1" applyAlignment="1">
      <alignment horizontal="right"/>
    </xf>
    <xf numFmtId="3" fontId="25" fillId="0" borderId="1" xfId="0" applyNumberFormat="1" applyFont="1" applyBorder="1" applyAlignment="1">
      <alignment horizontal="right"/>
    </xf>
    <xf numFmtId="167" fontId="11" fillId="0" borderId="0" xfId="0" applyNumberFormat="1" applyFont="1"/>
    <xf numFmtId="0" fontId="13" fillId="0" borderId="1" xfId="0" applyFont="1" applyBorder="1"/>
    <xf numFmtId="0" fontId="11" fillId="0" borderId="0" xfId="1" applyFont="1" applyAlignment="1">
      <alignment horizontal="left" vertical="top" wrapText="1"/>
    </xf>
    <xf numFmtId="9" fontId="11" fillId="0" borderId="0" xfId="0" applyNumberFormat="1" applyFont="1" applyAlignment="1">
      <alignment horizontal="left"/>
    </xf>
    <xf numFmtId="9" fontId="11" fillId="0" borderId="0" xfId="0" applyNumberFormat="1" applyFont="1"/>
    <xf numFmtId="3" fontId="11" fillId="4" borderId="0" xfId="0" applyNumberFormat="1" applyFont="1" applyFill="1" applyAlignment="1">
      <alignment horizontal="right"/>
    </xf>
    <xf numFmtId="0" fontId="11" fillId="4" borderId="0" xfId="0" applyFont="1" applyFill="1"/>
    <xf numFmtId="3" fontId="13" fillId="4" borderId="0" xfId="0" applyNumberFormat="1" applyFont="1" applyFill="1" applyAlignment="1">
      <alignment horizontal="center"/>
    </xf>
    <xf numFmtId="3" fontId="11" fillId="4" borderId="2" xfId="0" applyNumberFormat="1" applyFont="1" applyFill="1" applyBorder="1" applyAlignment="1">
      <alignment horizontal="right"/>
    </xf>
    <xf numFmtId="3" fontId="25" fillId="4" borderId="0" xfId="0" applyNumberFormat="1" applyFont="1" applyFill="1" applyAlignment="1">
      <alignment horizontal="right"/>
    </xf>
    <xf numFmtId="3" fontId="24" fillId="4" borderId="0" xfId="0" applyNumberFormat="1" applyFont="1" applyFill="1" applyAlignment="1">
      <alignment horizontal="right"/>
    </xf>
    <xf numFmtId="3" fontId="63" fillId="4" borderId="0" xfId="0" applyNumberFormat="1" applyFont="1" applyFill="1" applyAlignment="1">
      <alignment horizontal="right"/>
    </xf>
    <xf numFmtId="3" fontId="13" fillId="4" borderId="0" xfId="0" applyNumberFormat="1" applyFont="1" applyFill="1" applyAlignment="1">
      <alignment horizontal="right"/>
    </xf>
    <xf numFmtId="3" fontId="62" fillId="4" borderId="0" xfId="0" applyNumberFormat="1" applyFont="1" applyFill="1" applyAlignment="1">
      <alignment horizontal="right"/>
    </xf>
    <xf numFmtId="3" fontId="22" fillId="4" borderId="0" xfId="0" applyNumberFormat="1" applyFont="1" applyFill="1" applyAlignment="1">
      <alignment vertical="center"/>
    </xf>
    <xf numFmtId="3" fontId="11" fillId="4" borderId="1" xfId="0" applyNumberFormat="1" applyFont="1" applyFill="1" applyBorder="1" applyAlignment="1">
      <alignment horizontal="right"/>
    </xf>
    <xf numFmtId="4" fontId="11" fillId="4" borderId="0" xfId="0" applyNumberFormat="1" applyFont="1" applyFill="1" applyAlignment="1">
      <alignment horizontal="right"/>
    </xf>
    <xf numFmtId="3" fontId="11" fillId="4" borderId="2" xfId="0" applyNumberFormat="1" applyFont="1" applyFill="1" applyBorder="1"/>
    <xf numFmtId="0" fontId="11" fillId="4" borderId="0" xfId="0" applyFont="1" applyFill="1" applyAlignment="1">
      <alignment horizontal="right"/>
    </xf>
    <xf numFmtId="0" fontId="13" fillId="4" borderId="0" xfId="0" applyFont="1" applyFill="1" applyAlignment="1">
      <alignment horizontal="center"/>
    </xf>
    <xf numFmtId="3" fontId="25" fillId="4" borderId="1" xfId="0" applyNumberFormat="1" applyFont="1" applyFill="1" applyBorder="1" applyAlignment="1">
      <alignment horizontal="right"/>
    </xf>
    <xf numFmtId="3" fontId="12" fillId="4" borderId="0" xfId="0" applyNumberFormat="1" applyFont="1" applyFill="1" applyAlignment="1">
      <alignment horizontal="right"/>
    </xf>
    <xf numFmtId="3" fontId="12" fillId="4" borderId="1" xfId="0" applyNumberFormat="1" applyFont="1" applyFill="1" applyBorder="1" applyAlignment="1">
      <alignment horizontal="right"/>
    </xf>
    <xf numFmtId="14" fontId="11" fillId="0" borderId="0" xfId="0" applyNumberFormat="1" applyFont="1" applyAlignment="1">
      <alignment horizontal="left"/>
    </xf>
    <xf numFmtId="168" fontId="66" fillId="0" borderId="0" xfId="8" applyNumberFormat="1" applyFont="1" applyAlignment="1">
      <alignment horizontal="left"/>
    </xf>
    <xf numFmtId="10" fontId="12" fillId="4" borderId="11" xfId="0" applyNumberFormat="1" applyFont="1" applyFill="1" applyBorder="1"/>
    <xf numFmtId="167" fontId="11" fillId="0" borderId="0" xfId="1" applyNumberFormat="1" applyFont="1" applyAlignment="1">
      <alignment horizontal="left" vertical="top"/>
    </xf>
    <xf numFmtId="167" fontId="11" fillId="4" borderId="0" xfId="0" applyNumberFormat="1" applyFont="1" applyFill="1" applyAlignment="1">
      <alignment horizontal="left"/>
    </xf>
    <xf numFmtId="166" fontId="13" fillId="0" borderId="0" xfId="0" applyNumberFormat="1" applyFont="1" applyAlignment="1">
      <alignment horizontal="right"/>
    </xf>
    <xf numFmtId="10" fontId="13" fillId="0" borderId="0" xfId="0" applyNumberFormat="1" applyFont="1" applyAlignment="1">
      <alignment horizontal="right"/>
    </xf>
    <xf numFmtId="10" fontId="12" fillId="0" borderId="0" xfId="0" applyNumberFormat="1" applyFont="1" applyAlignment="1">
      <alignment horizontal="right"/>
    </xf>
    <xf numFmtId="166" fontId="12" fillId="0" borderId="0" xfId="0" applyNumberFormat="1" applyFont="1" applyAlignment="1">
      <alignment horizontal="left"/>
    </xf>
    <xf numFmtId="10" fontId="11" fillId="0" borderId="0" xfId="9" applyNumberFormat="1" applyFont="1" applyFill="1" applyAlignment="1">
      <alignment horizontal="right"/>
    </xf>
    <xf numFmtId="0" fontId="34" fillId="0" borderId="5" xfId="0" applyFont="1" applyBorder="1" applyAlignment="1">
      <alignment horizontal="center" vertical="center" wrapText="1"/>
    </xf>
    <xf numFmtId="0" fontId="34" fillId="0" borderId="9" xfId="0" applyFont="1" applyBorder="1" applyAlignment="1">
      <alignment vertical="center" wrapText="1"/>
    </xf>
    <xf numFmtId="0" fontId="34" fillId="0" borderId="6" xfId="0" applyFont="1" applyBorder="1" applyAlignment="1">
      <alignment vertical="center" wrapText="1"/>
    </xf>
    <xf numFmtId="3" fontId="19" fillId="0" borderId="0" xfId="0" applyNumberFormat="1" applyFont="1" applyAlignment="1">
      <alignment horizontal="center"/>
    </xf>
    <xf numFmtId="3" fontId="19" fillId="4" borderId="0" xfId="0" applyNumberFormat="1" applyFont="1" applyFill="1" applyAlignment="1">
      <alignment horizontal="center"/>
    </xf>
    <xf numFmtId="3" fontId="19" fillId="0" borderId="1" xfId="0" applyNumberFormat="1" applyFont="1" applyBorder="1" applyAlignment="1">
      <alignment horizontal="center"/>
    </xf>
    <xf numFmtId="3" fontId="84" fillId="0" borderId="0" xfId="0" applyNumberFormat="1" applyFont="1" applyAlignment="1">
      <alignment horizontal="center"/>
    </xf>
    <xf numFmtId="3" fontId="84" fillId="4" borderId="0" xfId="0" applyNumberFormat="1" applyFont="1" applyFill="1" applyAlignment="1">
      <alignment horizontal="center"/>
    </xf>
    <xf numFmtId="3" fontId="84" fillId="0" borderId="1" xfId="0" applyNumberFormat="1" applyFont="1" applyBorder="1" applyAlignment="1">
      <alignment horizontal="center"/>
    </xf>
    <xf numFmtId="3" fontId="85" fillId="4" borderId="0" xfId="0" applyNumberFormat="1" applyFont="1" applyFill="1" applyAlignment="1">
      <alignment horizontal="center"/>
    </xf>
    <xf numFmtId="0" fontId="15" fillId="0" borderId="0" xfId="0" applyFont="1" applyAlignment="1">
      <alignment horizontal="left"/>
    </xf>
    <xf numFmtId="0" fontId="71" fillId="0" borderId="0" xfId="0" applyFont="1" applyAlignment="1">
      <alignment horizontal="left" vertical="top" wrapText="1"/>
    </xf>
    <xf numFmtId="0" fontId="0" fillId="0" borderId="15" xfId="0" applyBorder="1"/>
    <xf numFmtId="0" fontId="0" fillId="0" borderId="15" xfId="0" applyBorder="1" applyAlignment="1">
      <alignment vertical="center"/>
    </xf>
    <xf numFmtId="3" fontId="11" fillId="3" borderId="0" xfId="0" applyNumberFormat="1" applyFont="1" applyFill="1" applyAlignment="1">
      <alignment horizontal="right"/>
    </xf>
    <xf numFmtId="3" fontId="85" fillId="0" borderId="0" xfId="0" applyNumberFormat="1" applyFont="1" applyAlignment="1">
      <alignment horizontal="center"/>
    </xf>
    <xf numFmtId="0" fontId="25" fillId="0" borderId="0" xfId="0" applyFont="1" applyAlignment="1">
      <alignment horizontal="center"/>
    </xf>
    <xf numFmtId="4" fontId="85" fillId="0" borderId="0" xfId="0" applyNumberFormat="1" applyFont="1" applyAlignment="1">
      <alignment horizontal="center"/>
    </xf>
    <xf numFmtId="0" fontId="86" fillId="0" borderId="0" xfId="0" applyFont="1"/>
    <xf numFmtId="0" fontId="11" fillId="0" borderId="0" xfId="1" applyFont="1" applyAlignment="1">
      <alignment vertical="top"/>
    </xf>
    <xf numFmtId="0" fontId="13" fillId="2" borderId="18" xfId="0" applyFont="1" applyFill="1" applyBorder="1" applyAlignment="1">
      <alignment horizontal="center" wrapText="1"/>
    </xf>
    <xf numFmtId="0" fontId="16" fillId="2" borderId="0" xfId="0" applyFont="1" applyFill="1" applyAlignment="1">
      <alignment horizontal="center" vertical="center" wrapText="1"/>
    </xf>
    <xf numFmtId="0" fontId="13" fillId="2" borderId="0" xfId="0" applyFont="1" applyFill="1" applyAlignment="1">
      <alignment horizontal="center" vertical="center" wrapText="1"/>
    </xf>
    <xf numFmtId="0" fontId="13" fillId="0" borderId="0" xfId="0" applyFont="1" applyAlignment="1">
      <alignment horizontal="left" wrapText="1"/>
    </xf>
    <xf numFmtId="2" fontId="13" fillId="0" borderId="0" xfId="0" applyNumberFormat="1" applyFont="1" applyAlignment="1">
      <alignment wrapText="1"/>
    </xf>
    <xf numFmtId="0" fontId="92" fillId="5" borderId="0" xfId="0" applyFont="1" applyFill="1" applyAlignment="1">
      <alignment horizontal="left"/>
    </xf>
    <xf numFmtId="0" fontId="93" fillId="5" borderId="0" xfId="0" applyFont="1" applyFill="1" applyAlignment="1">
      <alignment horizontal="left"/>
    </xf>
    <xf numFmtId="3" fontId="93" fillId="5" borderId="0" xfId="0" applyNumberFormat="1" applyFont="1" applyFill="1"/>
    <xf numFmtId="3" fontId="93" fillId="5" borderId="0" xfId="0" applyNumberFormat="1" applyFont="1" applyFill="1" applyAlignment="1">
      <alignment horizontal="right"/>
    </xf>
    <xf numFmtId="3" fontId="93" fillId="5" borderId="0" xfId="0" applyNumberFormat="1" applyFont="1" applyFill="1" applyAlignment="1">
      <alignment horizontal="left"/>
    </xf>
    <xf numFmtId="3" fontId="94" fillId="5" borderId="0" xfId="0" applyNumberFormat="1" applyFont="1" applyFill="1" applyAlignment="1">
      <alignment horizontal="left"/>
    </xf>
    <xf numFmtId="3" fontId="11" fillId="5" borderId="0" xfId="0" applyNumberFormat="1" applyFont="1" applyFill="1" applyAlignment="1">
      <alignment horizontal="right"/>
    </xf>
    <xf numFmtId="0" fontId="11" fillId="5" borderId="0" xfId="0" applyFont="1" applyFill="1"/>
    <xf numFmtId="0" fontId="11" fillId="5" borderId="0" xfId="0" applyFont="1" applyFill="1" applyAlignment="1">
      <alignment horizontal="right"/>
    </xf>
    <xf numFmtId="3" fontId="96" fillId="5" borderId="0" xfId="0" applyNumberFormat="1" applyFont="1" applyFill="1" applyAlignment="1">
      <alignment horizontal="center" vertical="center"/>
    </xf>
    <xf numFmtId="2" fontId="95" fillId="5" borderId="0" xfId="0" applyNumberFormat="1" applyFont="1" applyFill="1" applyAlignment="1">
      <alignment horizontal="center"/>
    </xf>
    <xf numFmtId="3" fontId="97" fillId="15" borderId="0" xfId="0" applyNumberFormat="1" applyFont="1" applyFill="1"/>
    <xf numFmtId="2" fontId="11" fillId="15" borderId="0" xfId="0" applyNumberFormat="1" applyFont="1" applyFill="1"/>
    <xf numFmtId="3" fontId="11" fillId="15" borderId="0" xfId="0" applyNumberFormat="1" applyFont="1" applyFill="1" applyAlignment="1">
      <alignment horizontal="center"/>
    </xf>
    <xf numFmtId="3" fontId="12" fillId="15" borderId="0" xfId="0" applyNumberFormat="1" applyFont="1" applyFill="1" applyProtection="1">
      <protection locked="0"/>
    </xf>
    <xf numFmtId="2" fontId="12" fillId="15" borderId="0" xfId="0" applyNumberFormat="1" applyFont="1" applyFill="1" applyAlignment="1" applyProtection="1">
      <alignment horizontal="right"/>
      <protection locked="0"/>
    </xf>
    <xf numFmtId="3" fontId="96" fillId="16" borderId="0" xfId="0" applyNumberFormat="1" applyFont="1" applyFill="1" applyAlignment="1">
      <alignment horizontal="center" vertical="center"/>
    </xf>
    <xf numFmtId="2" fontId="95" fillId="16" borderId="0" xfId="0" applyNumberFormat="1" applyFont="1" applyFill="1" applyAlignment="1">
      <alignment horizontal="center"/>
    </xf>
    <xf numFmtId="3" fontId="11" fillId="5" borderId="0" xfId="0" applyNumberFormat="1" applyFont="1" applyFill="1"/>
    <xf numFmtId="3" fontId="11" fillId="16" borderId="0" xfId="0" applyNumberFormat="1" applyFont="1" applyFill="1" applyAlignment="1">
      <alignment horizontal="right"/>
    </xf>
    <xf numFmtId="3" fontId="11" fillId="16" borderId="0" xfId="0" applyNumberFormat="1" applyFont="1" applyFill="1"/>
    <xf numFmtId="3" fontId="12" fillId="5" borderId="5" xfId="0" applyNumberFormat="1" applyFont="1" applyFill="1" applyBorder="1"/>
    <xf numFmtId="3" fontId="12" fillId="5" borderId="9" xfId="0" applyNumberFormat="1" applyFont="1" applyFill="1" applyBorder="1" applyAlignment="1">
      <alignment horizontal="right"/>
    </xf>
    <xf numFmtId="0" fontId="11" fillId="5" borderId="0" xfId="0" applyFont="1" applyFill="1" applyAlignment="1">
      <alignment horizontal="center"/>
    </xf>
    <xf numFmtId="3" fontId="94" fillId="5" borderId="0" xfId="0" applyNumberFormat="1" applyFont="1" applyFill="1"/>
    <xf numFmtId="2" fontId="11" fillId="5" borderId="0" xfId="0" applyNumberFormat="1" applyFont="1" applyFill="1"/>
    <xf numFmtId="10" fontId="11" fillId="5" borderId="0" xfId="0" applyNumberFormat="1" applyFont="1" applyFill="1"/>
    <xf numFmtId="165" fontId="11" fillId="5" borderId="0" xfId="0" applyNumberFormat="1" applyFont="1" applyFill="1"/>
    <xf numFmtId="3" fontId="89" fillId="5" borderId="0" xfId="0" applyNumberFormat="1" applyFont="1" applyFill="1"/>
    <xf numFmtId="3" fontId="91" fillId="5" borderId="0" xfId="0" applyNumberFormat="1" applyFont="1" applyFill="1"/>
    <xf numFmtId="3" fontId="91" fillId="5" borderId="0" xfId="0" applyNumberFormat="1" applyFont="1" applyFill="1" applyAlignment="1">
      <alignment horizontal="right"/>
    </xf>
    <xf numFmtId="3" fontId="19" fillId="5" borderId="0" xfId="0" applyNumberFormat="1" applyFont="1" applyFill="1" applyAlignment="1">
      <alignment horizontal="right"/>
    </xf>
    <xf numFmtId="3" fontId="12" fillId="5" borderId="0" xfId="0" applyNumberFormat="1" applyFont="1" applyFill="1"/>
    <xf numFmtId="3" fontId="90" fillId="5" borderId="0" xfId="0" applyNumberFormat="1" applyFont="1" applyFill="1"/>
    <xf numFmtId="3" fontId="12" fillId="5" borderId="0" xfId="0" applyNumberFormat="1" applyFont="1" applyFill="1" applyAlignment="1">
      <alignment horizontal="left"/>
    </xf>
    <xf numFmtId="0" fontId="95" fillId="5" borderId="0" xfId="0" applyFont="1" applyFill="1" applyAlignment="1">
      <alignment horizontal="left"/>
    </xf>
    <xf numFmtId="3" fontId="101" fillId="0" borderId="0" xfId="0" applyNumberFormat="1" applyFont="1" applyAlignment="1">
      <alignment horizontal="right"/>
    </xf>
    <xf numFmtId="0" fontId="11" fillId="0" borderId="0" xfId="0" applyFont="1" applyAlignment="1">
      <alignment horizontal="left" indent="1"/>
    </xf>
    <xf numFmtId="3" fontId="62" fillId="0" borderId="0" xfId="0" applyNumberFormat="1" applyFont="1" applyAlignment="1">
      <alignment horizontal="left" wrapText="1"/>
    </xf>
    <xf numFmtId="0" fontId="12" fillId="0" borderId="0" xfId="0" applyFont="1" applyAlignment="1">
      <alignment horizontal="center"/>
    </xf>
    <xf numFmtId="0" fontId="11" fillId="4" borderId="0" xfId="0" applyFont="1" applyFill="1" applyAlignment="1">
      <alignment horizontal="left"/>
    </xf>
    <xf numFmtId="14" fontId="11" fillId="4" borderId="0" xfId="0" applyNumberFormat="1" applyFont="1" applyFill="1" applyAlignment="1">
      <alignment horizontal="left"/>
    </xf>
    <xf numFmtId="0" fontId="11" fillId="4" borderId="0" xfId="0" applyFont="1" applyFill="1" applyAlignment="1">
      <alignment horizontal="center" vertical="center" wrapText="1"/>
    </xf>
    <xf numFmtId="0" fontId="13" fillId="0" borderId="0" xfId="0" applyFont="1" applyAlignment="1">
      <alignment horizontal="center"/>
    </xf>
    <xf numFmtId="3" fontId="11" fillId="5" borderId="0" xfId="0" quotePrefix="1" applyNumberFormat="1" applyFont="1" applyFill="1" applyAlignment="1">
      <alignment horizontal="left" vertical="center" wrapText="1"/>
    </xf>
    <xf numFmtId="0" fontId="99" fillId="5" borderId="0" xfId="0" quotePrefix="1" applyFont="1" applyFill="1" applyAlignment="1">
      <alignment horizontal="left" vertical="center" wrapText="1"/>
    </xf>
    <xf numFmtId="3" fontId="11" fillId="5" borderId="0" xfId="0" quotePrefix="1" applyNumberFormat="1" applyFont="1" applyFill="1" applyAlignment="1">
      <alignment horizontal="left" vertical="center"/>
    </xf>
    <xf numFmtId="0" fontId="91" fillId="5" borderId="0" xfId="0" quotePrefix="1" applyFont="1" applyFill="1" applyAlignment="1">
      <alignment horizontal="left" vertical="center" wrapText="1"/>
    </xf>
    <xf numFmtId="0" fontId="71" fillId="0" borderId="0" xfId="0" applyFont="1" applyAlignment="1">
      <alignment horizontal="left" vertical="top" wrapText="1"/>
    </xf>
    <xf numFmtId="3" fontId="66" fillId="0" borderId="6" xfId="7" applyNumberFormat="1" applyFont="1" applyBorder="1" applyAlignment="1">
      <alignment horizontal="left" vertical="center"/>
    </xf>
    <xf numFmtId="3" fontId="66" fillId="0" borderId="9" xfId="7" applyNumberFormat="1" applyFont="1" applyBorder="1" applyAlignment="1">
      <alignment horizontal="left" vertical="center"/>
    </xf>
    <xf numFmtId="0" fontId="71" fillId="0" borderId="0" xfId="0" applyFont="1" applyAlignment="1">
      <alignment vertical="top" wrapText="1"/>
    </xf>
    <xf numFmtId="0" fontId="73" fillId="0" borderId="0" xfId="0" applyFont="1" applyAlignment="1">
      <alignment vertical="top" wrapText="1"/>
    </xf>
    <xf numFmtId="0" fontId="76" fillId="13" borderId="5" xfId="7" applyNumberFormat="1" applyFont="1" applyFill="1" applyBorder="1" applyAlignment="1">
      <alignment horizontal="left" vertical="center" indent="1"/>
    </xf>
    <xf numFmtId="3" fontId="68" fillId="0" borderId="5" xfId="7" applyNumberFormat="1" applyFont="1" applyBorder="1" applyAlignment="1">
      <alignment vertical="center"/>
    </xf>
    <xf numFmtId="0" fontId="68" fillId="0" borderId="5" xfId="7" applyNumberFormat="1" applyFont="1" applyBorder="1" applyAlignment="1">
      <alignment vertical="center"/>
    </xf>
    <xf numFmtId="14" fontId="11" fillId="0" borderId="0" xfId="0" applyNumberFormat="1" applyFont="1" applyAlignment="1">
      <alignment horizontal="left"/>
    </xf>
    <xf numFmtId="3" fontId="11" fillId="0" borderId="0" xfId="0" applyNumberFormat="1" applyFont="1" applyAlignment="1">
      <alignment horizontal="left"/>
    </xf>
    <xf numFmtId="3" fontId="64" fillId="0" borderId="0" xfId="0" applyNumberFormat="1" applyFont="1" applyAlignment="1">
      <alignment horizontal="center"/>
    </xf>
    <xf numFmtId="3" fontId="11" fillId="0" borderId="0" xfId="0" applyNumberFormat="1" applyFont="1" applyAlignment="1">
      <alignment horizontal="left" vertical="top" wrapText="1"/>
    </xf>
    <xf numFmtId="0" fontId="13" fillId="3" borderId="0" xfId="0" applyFont="1" applyFill="1" applyAlignment="1">
      <alignment horizontal="center" vertical="center"/>
    </xf>
    <xf numFmtId="0" fontId="30" fillId="0" borderId="1" xfId="2" applyFont="1" applyBorder="1" applyAlignment="1">
      <alignment horizontal="right" vertical="center"/>
    </xf>
    <xf numFmtId="0" fontId="31" fillId="0" borderId="6" xfId="2" applyFont="1" applyBorder="1" applyAlignment="1">
      <alignment horizontal="left" vertical="center" wrapText="1"/>
    </xf>
    <xf numFmtId="0" fontId="31" fillId="0" borderId="3" xfId="2" applyFont="1" applyBorder="1" applyAlignment="1">
      <alignment horizontal="left" vertical="center" wrapText="1"/>
    </xf>
    <xf numFmtId="0" fontId="31" fillId="0" borderId="9" xfId="2" applyFont="1" applyBorder="1" applyAlignment="1">
      <alignment horizontal="left" vertical="center" wrapText="1"/>
    </xf>
    <xf numFmtId="0" fontId="6" fillId="0" borderId="0" xfId="2" applyFont="1" applyAlignment="1">
      <alignment horizontal="left" vertical="center" wrapText="1"/>
    </xf>
    <xf numFmtId="0" fontId="81" fillId="3" borderId="6" xfId="0" applyFont="1" applyFill="1" applyBorder="1" applyAlignment="1">
      <alignment horizontal="left" vertical="center"/>
    </xf>
    <xf numFmtId="0" fontId="81" fillId="3" borderId="3" xfId="0" applyFont="1" applyFill="1" applyBorder="1" applyAlignment="1">
      <alignment horizontal="left" vertical="center"/>
    </xf>
    <xf numFmtId="0" fontId="81" fillId="3" borderId="9" xfId="0" applyFont="1" applyFill="1" applyBorder="1" applyAlignment="1">
      <alignment horizontal="left" vertical="center"/>
    </xf>
    <xf numFmtId="0" fontId="6" fillId="0" borderId="0" xfId="2" applyFont="1" applyAlignment="1">
      <alignment horizontal="left" vertical="center" indent="3"/>
    </xf>
    <xf numFmtId="166" fontId="6" fillId="0" borderId="1" xfId="2" applyNumberFormat="1" applyFont="1" applyBorder="1" applyAlignment="1" applyProtection="1">
      <alignment horizontal="right"/>
      <protection locked="0"/>
    </xf>
    <xf numFmtId="166" fontId="6" fillId="0" borderId="8" xfId="2" applyNumberFormat="1" applyFont="1" applyBorder="1" applyAlignment="1" applyProtection="1">
      <alignment horizontal="right"/>
      <protection locked="0"/>
    </xf>
    <xf numFmtId="166" fontId="6" fillId="0" borderId="3" xfId="2" applyNumberFormat="1" applyFont="1" applyBorder="1" applyAlignment="1" applyProtection="1">
      <alignment horizontal="right"/>
      <protection locked="0"/>
    </xf>
    <xf numFmtId="166" fontId="6" fillId="0" borderId="9" xfId="2" applyNumberFormat="1" applyFont="1" applyBorder="1" applyAlignment="1" applyProtection="1">
      <alignment horizontal="right"/>
      <protection locked="0"/>
    </xf>
    <xf numFmtId="3" fontId="31" fillId="14" borderId="0" xfId="2" applyNumberFormat="1" applyFont="1" applyFill="1" applyAlignment="1">
      <alignment horizontal="left" vertical="center"/>
    </xf>
    <xf numFmtId="0" fontId="31" fillId="14" borderId="0" xfId="2" applyFont="1" applyFill="1" applyAlignment="1">
      <alignment horizontal="left" vertical="center"/>
    </xf>
    <xf numFmtId="10" fontId="31" fillId="14" borderId="0" xfId="2" applyNumberFormat="1" applyFont="1" applyFill="1" applyAlignment="1">
      <alignment horizontal="left"/>
    </xf>
    <xf numFmtId="0" fontId="31" fillId="14" borderId="0" xfId="2" applyFont="1" applyFill="1" applyAlignment="1">
      <alignment horizontal="left"/>
    </xf>
    <xf numFmtId="3" fontId="6" fillId="14" borderId="2" xfId="2" applyNumberFormat="1" applyFont="1" applyFill="1" applyBorder="1" applyAlignment="1" applyProtection="1">
      <alignment horizontal="left"/>
      <protection locked="0"/>
    </xf>
    <xf numFmtId="0" fontId="11" fillId="14" borderId="2" xfId="0" applyFont="1" applyFill="1" applyBorder="1" applyAlignment="1">
      <alignment horizontal="center"/>
    </xf>
    <xf numFmtId="0" fontId="3" fillId="0" borderId="0" xfId="2" applyFont="1" applyAlignment="1">
      <alignment horizontal="right" vertical="center"/>
    </xf>
    <xf numFmtId="3" fontId="6" fillId="14" borderId="0" xfId="2" quotePrefix="1" applyNumberFormat="1" applyFont="1" applyFill="1" applyAlignment="1" applyProtection="1">
      <alignment horizontal="left" vertical="top" wrapText="1"/>
      <protection locked="0"/>
    </xf>
    <xf numFmtId="0" fontId="31" fillId="0" borderId="0" xfId="2" applyFont="1" applyAlignment="1">
      <alignment horizontal="left" wrapText="1"/>
    </xf>
    <xf numFmtId="0" fontId="5" fillId="0" borderId="0" xfId="2" applyFont="1" applyAlignment="1">
      <alignment horizontal="left" vertical="center" indent="3"/>
    </xf>
    <xf numFmtId="0" fontId="6" fillId="0" borderId="0" xfId="2" applyFont="1" applyAlignment="1">
      <alignment horizontal="left" vertical="center" wrapText="1" indent="3"/>
    </xf>
    <xf numFmtId="0" fontId="4" fillId="0" borderId="0" xfId="2" applyFont="1" applyAlignment="1">
      <alignment horizontal="left" vertical="center" wrapText="1" indent="3"/>
    </xf>
    <xf numFmtId="0" fontId="5" fillId="0" borderId="0" xfId="2" applyFont="1" applyAlignment="1">
      <alignment horizontal="left" wrapText="1"/>
    </xf>
    <xf numFmtId="0" fontId="6" fillId="0" borderId="0" xfId="2" applyFont="1" applyAlignment="1">
      <alignment horizontal="left" wrapText="1"/>
    </xf>
    <xf numFmtId="0" fontId="3" fillId="14" borderId="6" xfId="2" applyFont="1" applyFill="1" applyBorder="1" applyAlignment="1" applyProtection="1">
      <alignment horizontal="left" vertical="top" wrapText="1"/>
      <protection locked="0"/>
    </xf>
    <xf numFmtId="0" fontId="6" fillId="14" borderId="3" xfId="2" applyFont="1" applyFill="1" applyBorder="1" applyAlignment="1" applyProtection="1">
      <alignment horizontal="left" vertical="top" wrapText="1"/>
      <protection locked="0"/>
    </xf>
    <xf numFmtId="0" fontId="6" fillId="14" borderId="9" xfId="2" applyFont="1" applyFill="1" applyBorder="1" applyAlignment="1" applyProtection="1">
      <alignment horizontal="left" vertical="top" wrapText="1"/>
      <protection locked="0"/>
    </xf>
    <xf numFmtId="0" fontId="5" fillId="14" borderId="1" xfId="2" applyFont="1" applyFill="1" applyBorder="1" applyAlignment="1">
      <alignment horizontal="center" vertical="center"/>
    </xf>
    <xf numFmtId="0" fontId="6" fillId="14" borderId="0" xfId="2" applyFont="1" applyFill="1" applyAlignment="1" applyProtection="1">
      <alignment horizontal="left" wrapText="1" shrinkToFit="1"/>
      <protection locked="0"/>
    </xf>
    <xf numFmtId="0" fontId="6" fillId="14" borderId="2" xfId="2" applyFont="1" applyFill="1" applyBorder="1" applyAlignment="1" applyProtection="1">
      <alignment horizontal="left"/>
      <protection locked="0"/>
    </xf>
    <xf numFmtId="3" fontId="6" fillId="14" borderId="0" xfId="2" applyNumberFormat="1" applyFont="1" applyFill="1" applyAlignment="1" applyProtection="1">
      <alignment horizontal="left"/>
      <protection locked="0"/>
    </xf>
    <xf numFmtId="0" fontId="6" fillId="14" borderId="0" xfId="2" applyFont="1" applyFill="1" applyAlignment="1" applyProtection="1">
      <alignment horizontal="left"/>
      <protection locked="0"/>
    </xf>
    <xf numFmtId="0" fontId="6" fillId="0" borderId="2" xfId="2" applyFont="1" applyBorder="1" applyAlignment="1">
      <alignment horizontal="left" vertical="center"/>
    </xf>
    <xf numFmtId="0" fontId="6" fillId="0" borderId="14" xfId="2" applyFont="1" applyBorder="1" applyAlignment="1">
      <alignment horizontal="left" vertical="center"/>
    </xf>
    <xf numFmtId="166" fontId="6" fillId="0" borderId="1" xfId="2" applyNumberFormat="1" applyFont="1" applyBorder="1" applyAlignment="1" applyProtection="1">
      <alignment horizontal="right" vertical="center"/>
      <protection locked="0"/>
    </xf>
    <xf numFmtId="166" fontId="6" fillId="0" borderId="8" xfId="2" applyNumberFormat="1" applyFont="1" applyBorder="1" applyAlignment="1" applyProtection="1">
      <alignment horizontal="right" vertical="center"/>
      <protection locked="0"/>
    </xf>
    <xf numFmtId="166" fontId="6" fillId="0" borderId="3" xfId="2" applyNumberFormat="1" applyFont="1" applyBorder="1" applyAlignment="1" applyProtection="1">
      <alignment horizontal="right" vertical="center"/>
      <protection locked="0"/>
    </xf>
    <xf numFmtId="166" fontId="6" fillId="0" borderId="9" xfId="2" applyNumberFormat="1" applyFont="1" applyBorder="1" applyAlignment="1" applyProtection="1">
      <alignment horizontal="right" vertical="center"/>
      <protection locked="0"/>
    </xf>
    <xf numFmtId="0" fontId="11" fillId="0" borderId="0" xfId="0" applyFont="1" applyAlignment="1">
      <alignment horizontal="left" indent="3"/>
    </xf>
    <xf numFmtId="0" fontId="55" fillId="0" borderId="6" xfId="0" applyFont="1" applyBorder="1" applyAlignment="1">
      <alignment horizontal="right"/>
    </xf>
    <xf numFmtId="0" fontId="55" fillId="0" borderId="3" xfId="0" applyFont="1" applyBorder="1" applyAlignment="1">
      <alignment horizontal="right"/>
    </xf>
    <xf numFmtId="0" fontId="55" fillId="0" borderId="9" xfId="0" applyFont="1" applyBorder="1" applyAlignment="1">
      <alignment horizontal="right"/>
    </xf>
    <xf numFmtId="0" fontId="56" fillId="0" borderId="13" xfId="0" applyFont="1" applyBorder="1" applyAlignment="1">
      <alignment wrapText="1"/>
    </xf>
    <xf numFmtId="0" fontId="0" fillId="0" borderId="2" xfId="0" applyBorder="1" applyAlignment="1">
      <alignment wrapText="1"/>
    </xf>
    <xf numFmtId="0" fontId="0" fillId="0" borderId="14" xfId="0" applyBorder="1" applyAlignment="1">
      <alignment wrapText="1"/>
    </xf>
    <xf numFmtId="0" fontId="0" fillId="0" borderId="15" xfId="0" applyBorder="1" applyAlignment="1">
      <alignment wrapText="1"/>
    </xf>
    <xf numFmtId="0" fontId="0" fillId="0" borderId="0" xfId="0" applyAlignment="1">
      <alignment wrapText="1"/>
    </xf>
    <xf numFmtId="0" fontId="0" fillId="0" borderId="7" xfId="0" applyBorder="1" applyAlignment="1">
      <alignment wrapText="1"/>
    </xf>
    <xf numFmtId="0" fontId="33" fillId="0" borderId="15" xfId="0" applyFont="1" applyBorder="1" applyAlignment="1" applyProtection="1">
      <alignment vertical="top" wrapText="1"/>
      <protection locked="0"/>
    </xf>
    <xf numFmtId="0" fontId="33" fillId="0" borderId="0" xfId="0" applyFont="1" applyAlignment="1" applyProtection="1">
      <alignment vertical="top" wrapText="1"/>
      <protection locked="0"/>
    </xf>
    <xf numFmtId="0" fontId="33" fillId="0" borderId="7" xfId="0" applyFont="1" applyBorder="1" applyAlignment="1" applyProtection="1">
      <alignment vertical="top" wrapText="1"/>
      <protection locked="0"/>
    </xf>
    <xf numFmtId="0" fontId="33" fillId="0" borderId="16" xfId="0" applyFont="1" applyBorder="1" applyAlignment="1" applyProtection="1">
      <alignment vertical="top" wrapText="1"/>
      <protection locked="0"/>
    </xf>
    <xf numFmtId="0" fontId="33" fillId="0" borderId="1" xfId="0" applyFont="1" applyBorder="1" applyAlignment="1" applyProtection="1">
      <alignment vertical="top" wrapText="1"/>
      <protection locked="0"/>
    </xf>
    <xf numFmtId="0" fontId="33" fillId="0" borderId="8" xfId="0" applyFont="1" applyBorder="1" applyAlignment="1" applyProtection="1">
      <alignment vertical="top" wrapText="1"/>
      <protection locked="0"/>
    </xf>
    <xf numFmtId="0" fontId="52" fillId="10" borderId="6" xfId="0" applyFont="1" applyFill="1" applyBorder="1" applyAlignment="1">
      <alignment horizontal="left" vertical="center"/>
    </xf>
    <xf numFmtId="0" fontId="52" fillId="10" borderId="3" xfId="0" applyFont="1" applyFill="1" applyBorder="1" applyAlignment="1">
      <alignment horizontal="left" vertical="center"/>
    </xf>
    <xf numFmtId="0" fontId="52" fillId="10" borderId="9" xfId="0" applyFont="1" applyFill="1" applyBorder="1" applyAlignment="1">
      <alignment horizontal="left" vertical="center"/>
    </xf>
    <xf numFmtId="0" fontId="35" fillId="0" borderId="5" xfId="0" applyFont="1" applyBorder="1" applyAlignment="1">
      <alignment horizontal="left" vertical="center"/>
    </xf>
    <xf numFmtId="3" fontId="35" fillId="0" borderId="6" xfId="0" applyNumberFormat="1" applyFont="1" applyBorder="1" applyAlignment="1">
      <alignment horizontal="right" vertical="center"/>
    </xf>
    <xf numFmtId="3" fontId="35" fillId="0" borderId="3" xfId="0" applyNumberFormat="1" applyFont="1" applyBorder="1" applyAlignment="1">
      <alignment horizontal="right" vertical="center"/>
    </xf>
    <xf numFmtId="3" fontId="35" fillId="0" borderId="9" xfId="0" applyNumberFormat="1" applyFont="1" applyBorder="1" applyAlignment="1">
      <alignment horizontal="right" vertical="center"/>
    </xf>
    <xf numFmtId="0" fontId="35" fillId="0" borderId="6" xfId="0" applyFont="1" applyBorder="1" applyAlignment="1">
      <alignment horizontal="left" vertical="center"/>
    </xf>
    <xf numFmtId="0" fontId="52" fillId="5" borderId="0" xfId="0" applyFont="1" applyFill="1" applyAlignment="1">
      <alignment horizontal="left" vertical="center" wrapText="1"/>
    </xf>
    <xf numFmtId="0" fontId="35" fillId="0" borderId="3" xfId="0" applyFont="1" applyBorder="1" applyAlignment="1">
      <alignment horizontal="left" vertical="center"/>
    </xf>
    <xf numFmtId="0" fontId="35" fillId="0" borderId="9" xfId="0" applyFont="1" applyBorder="1" applyAlignment="1">
      <alignment horizontal="left" vertical="center"/>
    </xf>
    <xf numFmtId="3" fontId="35" fillId="0" borderId="6" xfId="0" applyNumberFormat="1" applyFont="1" applyBorder="1" applyAlignment="1" applyProtection="1">
      <alignment horizontal="right" vertical="center"/>
      <protection locked="0"/>
    </xf>
    <xf numFmtId="3" fontId="0" fillId="0" borderId="3" xfId="0" applyNumberFormat="1" applyBorder="1" applyAlignment="1" applyProtection="1">
      <alignment horizontal="right" vertical="center"/>
      <protection locked="0"/>
    </xf>
    <xf numFmtId="3" fontId="0" fillId="0" borderId="9" xfId="0" applyNumberFormat="1" applyBorder="1" applyAlignment="1" applyProtection="1">
      <alignment horizontal="right" vertical="center"/>
      <protection locked="0"/>
    </xf>
    <xf numFmtId="0" fontId="34" fillId="0" borderId="6" xfId="0" applyFont="1" applyBorder="1" applyAlignment="1">
      <alignment horizontal="center" vertical="center"/>
    </xf>
    <xf numFmtId="0" fontId="34" fillId="0" borderId="3" xfId="0" applyFont="1" applyBorder="1" applyAlignment="1">
      <alignment horizontal="center" vertical="center"/>
    </xf>
    <xf numFmtId="0" fontId="34" fillId="0" borderId="9" xfId="0" applyFont="1" applyBorder="1" applyAlignment="1">
      <alignment horizontal="center" vertical="center"/>
    </xf>
    <xf numFmtId="0" fontId="52" fillId="9" borderId="6" xfId="0" applyFont="1" applyFill="1" applyBorder="1" applyAlignment="1">
      <alignment horizontal="left" vertical="center"/>
    </xf>
    <xf numFmtId="0" fontId="52" fillId="9" borderId="3" xfId="0" applyFont="1" applyFill="1" applyBorder="1" applyAlignment="1">
      <alignment horizontal="left" vertical="center"/>
    </xf>
    <xf numFmtId="0" fontId="52" fillId="9" borderId="9" xfId="0" applyFont="1" applyFill="1" applyBorder="1" applyAlignment="1">
      <alignment horizontal="left" vertical="center"/>
    </xf>
    <xf numFmtId="0" fontId="52" fillId="5" borderId="6" xfId="0" applyFont="1" applyFill="1" applyBorder="1" applyAlignment="1">
      <alignment horizontal="left" vertical="center"/>
    </xf>
    <xf numFmtId="0" fontId="52" fillId="5" borderId="3" xfId="0" applyFont="1" applyFill="1" applyBorder="1" applyAlignment="1">
      <alignment horizontal="left" vertical="center"/>
    </xf>
    <xf numFmtId="0" fontId="52" fillId="5" borderId="9" xfId="0" applyFont="1" applyFill="1" applyBorder="1" applyAlignment="1">
      <alignment horizontal="left" vertical="center"/>
    </xf>
    <xf numFmtId="0" fontId="34" fillId="0" borderId="6" xfId="0" applyFont="1" applyBorder="1" applyAlignment="1">
      <alignment horizontal="right" vertical="center"/>
    </xf>
    <xf numFmtId="0" fontId="34" fillId="0" borderId="3" xfId="0" applyFont="1" applyBorder="1" applyAlignment="1">
      <alignment horizontal="right" vertical="center"/>
    </xf>
    <xf numFmtId="0" fontId="34" fillId="0" borderId="9" xfId="0" applyFont="1" applyBorder="1" applyAlignment="1">
      <alignment horizontal="right" vertical="center"/>
    </xf>
    <xf numFmtId="166" fontId="34" fillId="0" borderId="6" xfId="0" applyNumberFormat="1" applyFont="1" applyBorder="1" applyAlignment="1">
      <alignment horizontal="right" vertical="center"/>
    </xf>
    <xf numFmtId="166" fontId="34" fillId="0" borderId="3" xfId="0" applyNumberFormat="1" applyFont="1" applyBorder="1" applyAlignment="1">
      <alignment horizontal="right" vertical="center"/>
    </xf>
    <xf numFmtId="166" fontId="34" fillId="0" borderId="9" xfId="0" applyNumberFormat="1" applyFont="1" applyBorder="1" applyAlignment="1">
      <alignment horizontal="right" vertical="center"/>
    </xf>
    <xf numFmtId="0" fontId="41" fillId="0" borderId="6" xfId="0" applyFont="1" applyBorder="1" applyAlignment="1">
      <alignment horizontal="right" vertical="center"/>
    </xf>
    <xf numFmtId="0" fontId="41" fillId="0" borderId="3" xfId="0" applyFont="1" applyBorder="1" applyAlignment="1">
      <alignment horizontal="right" vertical="center"/>
    </xf>
    <xf numFmtId="0" fontId="41" fillId="0" borderId="9" xfId="0" applyFont="1" applyBorder="1" applyAlignment="1">
      <alignment horizontal="right" vertical="center"/>
    </xf>
    <xf numFmtId="166" fontId="52" fillId="0" borderId="6" xfId="0" applyNumberFormat="1" applyFont="1" applyBorder="1" applyAlignment="1">
      <alignment horizontal="right" vertical="center"/>
    </xf>
    <xf numFmtId="166" fontId="52" fillId="0" borderId="3" xfId="0" applyNumberFormat="1" applyFont="1" applyBorder="1" applyAlignment="1">
      <alignment horizontal="right" vertical="center"/>
    </xf>
    <xf numFmtId="166" fontId="52" fillId="0" borderId="9" xfId="0" applyNumberFormat="1" applyFont="1" applyBorder="1" applyAlignment="1">
      <alignment horizontal="right" vertical="center"/>
    </xf>
    <xf numFmtId="166" fontId="34" fillId="0" borderId="5" xfId="0" applyNumberFormat="1" applyFont="1" applyBorder="1" applyAlignment="1">
      <alignment horizontal="right" vertical="center"/>
    </xf>
    <xf numFmtId="0" fontId="0" fillId="0" borderId="3" xfId="0" applyBorder="1" applyAlignment="1">
      <alignment horizontal="right" vertical="center"/>
    </xf>
    <xf numFmtId="0" fontId="0" fillId="0" borderId="9" xfId="0" applyBorder="1" applyAlignment="1">
      <alignment horizontal="right" vertical="center"/>
    </xf>
    <xf numFmtId="166" fontId="16" fillId="0" borderId="3" xfId="0" applyNumberFormat="1" applyFont="1" applyBorder="1" applyAlignment="1">
      <alignment horizontal="right" vertical="center"/>
    </xf>
    <xf numFmtId="166" fontId="16" fillId="0" borderId="9" xfId="0" applyNumberFormat="1" applyFont="1" applyBorder="1" applyAlignment="1">
      <alignment horizontal="right" vertical="center"/>
    </xf>
    <xf numFmtId="0" fontId="35" fillId="0" borderId="6" xfId="0" applyFont="1" applyBorder="1" applyAlignment="1">
      <alignment vertical="center"/>
    </xf>
    <xf numFmtId="0" fontId="35" fillId="0" borderId="3" xfId="0" applyFont="1" applyBorder="1" applyAlignment="1">
      <alignment vertical="center"/>
    </xf>
    <xf numFmtId="0" fontId="35" fillId="0" borderId="6" xfId="0" applyFont="1" applyBorder="1" applyAlignment="1" applyProtection="1">
      <alignment vertical="center"/>
      <protection locked="0"/>
    </xf>
    <xf numFmtId="0" fontId="35" fillId="0" borderId="9" xfId="0" applyFont="1" applyBorder="1" applyAlignment="1" applyProtection="1">
      <alignment vertical="center"/>
      <protection locked="0"/>
    </xf>
    <xf numFmtId="0" fontId="35" fillId="0" borderId="3" xfId="0" applyFont="1" applyBorder="1" applyAlignment="1" applyProtection="1">
      <alignment horizontal="center" vertical="center"/>
      <protection locked="0"/>
    </xf>
    <xf numFmtId="0" fontId="35" fillId="0" borderId="9" xfId="0" applyFont="1" applyBorder="1" applyAlignment="1" applyProtection="1">
      <alignment horizontal="center" vertical="center"/>
      <protection locked="0"/>
    </xf>
    <xf numFmtId="3" fontId="35" fillId="0" borderId="5" xfId="0" applyNumberFormat="1" applyFont="1" applyBorder="1" applyAlignment="1">
      <alignment horizontal="right" vertical="center"/>
    </xf>
    <xf numFmtId="3" fontId="35" fillId="0" borderId="3" xfId="0" applyNumberFormat="1" applyFont="1" applyBorder="1" applyAlignment="1" applyProtection="1">
      <alignment horizontal="right" vertical="center"/>
      <protection locked="0"/>
    </xf>
    <xf numFmtId="3" fontId="35" fillId="0" borderId="9" xfId="0" applyNumberFormat="1" applyFont="1" applyBorder="1" applyAlignment="1" applyProtection="1">
      <alignment horizontal="right" vertical="center"/>
      <protection locked="0"/>
    </xf>
    <xf numFmtId="0" fontId="35" fillId="0" borderId="6" xfId="0" applyFont="1" applyBorder="1" applyAlignment="1" applyProtection="1">
      <alignment horizontal="left" vertical="center"/>
      <protection locked="0"/>
    </xf>
    <xf numFmtId="0" fontId="35" fillId="0" borderId="9" xfId="0" applyFont="1" applyBorder="1" applyAlignment="1" applyProtection="1">
      <alignment horizontal="left" vertical="center"/>
      <protection locked="0"/>
    </xf>
    <xf numFmtId="39" fontId="37" fillId="0" borderId="6" xfId="0" applyNumberFormat="1" applyFont="1" applyBorder="1" applyAlignment="1" applyProtection="1">
      <alignment horizontal="center" vertical="center"/>
      <protection locked="0"/>
    </xf>
    <xf numFmtId="39" fontId="37" fillId="0" borderId="3" xfId="0" applyNumberFormat="1" applyFont="1" applyBorder="1" applyAlignment="1" applyProtection="1">
      <alignment horizontal="center" vertical="center"/>
      <protection locked="0"/>
    </xf>
    <xf numFmtId="39" fontId="37" fillId="0" borderId="9" xfId="0" applyNumberFormat="1" applyFont="1" applyBorder="1" applyAlignment="1" applyProtection="1">
      <alignment horizontal="center" vertical="center"/>
      <protection locked="0"/>
    </xf>
    <xf numFmtId="0" fontId="35" fillId="0" borderId="13" xfId="0" applyFont="1" applyBorder="1" applyAlignment="1">
      <alignment horizontal="left" vertical="center"/>
    </xf>
    <xf numFmtId="0" fontId="35" fillId="0" borderId="2" xfId="0" applyFont="1" applyBorder="1" applyAlignment="1">
      <alignment horizontal="left" vertical="center"/>
    </xf>
    <xf numFmtId="0" fontId="35" fillId="0" borderId="14" xfId="0" applyFont="1" applyBorder="1" applyAlignment="1">
      <alignment horizontal="left" vertical="center"/>
    </xf>
    <xf numFmtId="0" fontId="35" fillId="0" borderId="15" xfId="0" applyFont="1" applyBorder="1" applyAlignment="1">
      <alignment horizontal="left" vertical="center"/>
    </xf>
    <xf numFmtId="0" fontId="35" fillId="0" borderId="0" xfId="0" applyFont="1" applyAlignment="1">
      <alignment horizontal="left" vertical="center"/>
    </xf>
    <xf numFmtId="0" fontId="35" fillId="0" borderId="7" xfId="0" applyFont="1" applyBorder="1" applyAlignment="1">
      <alignment horizontal="left" vertical="center"/>
    </xf>
    <xf numFmtId="0" fontId="35" fillId="0" borderId="16" xfId="0" applyFont="1" applyBorder="1" applyAlignment="1">
      <alignment horizontal="left" vertical="center"/>
    </xf>
    <xf numFmtId="0" fontId="35" fillId="0" borderId="1" xfId="0" applyFont="1" applyBorder="1" applyAlignment="1">
      <alignment horizontal="left" vertical="center"/>
    </xf>
    <xf numFmtId="0" fontId="35" fillId="0" borderId="8" xfId="0" applyFont="1" applyBorder="1" applyAlignment="1">
      <alignment horizontal="left" vertical="center"/>
    </xf>
    <xf numFmtId="39" fontId="37" fillId="0" borderId="3" xfId="0" applyNumberFormat="1" applyFont="1" applyBorder="1" applyAlignment="1">
      <alignment horizontal="center" vertical="center"/>
    </xf>
    <xf numFmtId="39" fontId="37" fillId="0" borderId="9" xfId="0" applyNumberFormat="1" applyFont="1" applyBorder="1" applyAlignment="1">
      <alignment horizontal="center" vertical="center"/>
    </xf>
    <xf numFmtId="39" fontId="37" fillId="0" borderId="6" xfId="0" applyNumberFormat="1" applyFont="1" applyBorder="1" applyAlignment="1">
      <alignment horizontal="center" vertical="center"/>
    </xf>
    <xf numFmtId="0" fontId="78" fillId="7" borderId="0" xfId="0" applyFont="1" applyFill="1" applyAlignment="1">
      <alignment horizontal="left" vertical="center" wrapText="1"/>
    </xf>
    <xf numFmtId="0" fontId="35" fillId="0" borderId="13" xfId="0" applyFont="1" applyBorder="1" applyAlignment="1">
      <alignment horizontal="center" vertical="center"/>
    </xf>
    <xf numFmtId="0" fontId="35" fillId="0" borderId="2" xfId="0" applyFont="1" applyBorder="1" applyAlignment="1">
      <alignment horizontal="center" vertical="center"/>
    </xf>
    <xf numFmtId="0" fontId="35" fillId="0" borderId="14" xfId="0" applyFont="1" applyBorder="1" applyAlignment="1">
      <alignment horizontal="center" vertical="center"/>
    </xf>
    <xf numFmtId="0" fontId="35" fillId="0" borderId="16" xfId="0" applyFont="1" applyBorder="1" applyAlignment="1">
      <alignment horizontal="center" vertical="center"/>
    </xf>
    <xf numFmtId="0" fontId="35" fillId="0" borderId="1" xfId="0" applyFont="1" applyBorder="1" applyAlignment="1">
      <alignment horizontal="center" vertical="center"/>
    </xf>
    <xf numFmtId="0" fontId="35" fillId="0" borderId="8" xfId="0" applyFont="1" applyBorder="1" applyAlignment="1">
      <alignment horizontal="center" vertical="center"/>
    </xf>
    <xf numFmtId="0" fontId="35" fillId="0" borderId="6" xfId="0" applyFont="1" applyBorder="1" applyAlignment="1" applyProtection="1">
      <alignment horizontal="center" vertical="center"/>
      <protection locked="0"/>
    </xf>
    <xf numFmtId="0" fontId="33" fillId="3" borderId="0" xfId="0" applyFont="1" applyFill="1" applyAlignment="1">
      <alignment horizontal="left" vertical="center" wrapText="1"/>
    </xf>
    <xf numFmtId="0" fontId="33" fillId="13" borderId="0" xfId="0" applyFont="1" applyFill="1" applyAlignment="1">
      <alignment horizontal="left" vertical="center" wrapText="1"/>
    </xf>
    <xf numFmtId="0" fontId="52" fillId="13" borderId="0" xfId="0" applyFont="1" applyFill="1" applyAlignment="1">
      <alignment horizontal="left" vertical="center" wrapText="1"/>
    </xf>
    <xf numFmtId="0" fontId="36" fillId="0" borderId="6" xfId="0" applyFont="1" applyBorder="1" applyAlignment="1">
      <alignment horizontal="left" vertical="center"/>
    </xf>
    <xf numFmtId="0" fontId="36" fillId="0" borderId="3" xfId="0" applyFont="1" applyBorder="1" applyAlignment="1">
      <alignment horizontal="left" vertical="center"/>
    </xf>
    <xf numFmtId="0" fontId="37" fillId="0" borderId="6" xfId="0" applyFont="1" applyBorder="1" applyAlignment="1" applyProtection="1">
      <alignment horizontal="left" vertical="center"/>
      <protection locked="0"/>
    </xf>
    <xf numFmtId="0" fontId="37" fillId="0" borderId="3" xfId="0" applyFont="1" applyBorder="1" applyAlignment="1" applyProtection="1">
      <alignment horizontal="left" vertical="center"/>
      <protection locked="0"/>
    </xf>
    <xf numFmtId="0" fontId="37" fillId="0" borderId="9" xfId="0" applyFont="1" applyBorder="1" applyAlignment="1" applyProtection="1">
      <alignment horizontal="left" vertical="center"/>
      <protection locked="0"/>
    </xf>
    <xf numFmtId="0" fontId="77" fillId="0" borderId="6" xfId="0" applyFont="1" applyBorder="1" applyAlignment="1">
      <alignment vertical="center"/>
    </xf>
    <xf numFmtId="0" fontId="77" fillId="0" borderId="3" xfId="0" applyFont="1" applyBorder="1" applyAlignment="1">
      <alignment vertical="center"/>
    </xf>
    <xf numFmtId="0" fontId="77" fillId="0" borderId="9" xfId="0" applyFont="1" applyBorder="1" applyAlignment="1">
      <alignment vertical="center"/>
    </xf>
    <xf numFmtId="164" fontId="37" fillId="0" borderId="6" xfId="0" applyNumberFormat="1" applyFont="1" applyBorder="1" applyAlignment="1" applyProtection="1">
      <alignment horizontal="left" vertical="center"/>
      <protection locked="0"/>
    </xf>
    <xf numFmtId="164" fontId="37" fillId="0" borderId="3" xfId="0" applyNumberFormat="1" applyFont="1" applyBorder="1" applyAlignment="1" applyProtection="1">
      <alignment horizontal="left" vertical="center"/>
      <protection locked="0"/>
    </xf>
    <xf numFmtId="164" fontId="37" fillId="0" borderId="9" xfId="0" applyNumberFormat="1" applyFont="1" applyBorder="1" applyAlignment="1" applyProtection="1">
      <alignment horizontal="left" vertical="center"/>
      <protection locked="0"/>
    </xf>
    <xf numFmtId="0" fontId="36" fillId="0" borderId="9" xfId="0" applyFont="1" applyBorder="1" applyAlignment="1">
      <alignment horizontal="left" vertical="center"/>
    </xf>
    <xf numFmtId="3" fontId="37" fillId="0" borderId="6" xfId="0" quotePrefix="1" applyNumberFormat="1" applyFont="1" applyBorder="1" applyAlignment="1" applyProtection="1">
      <alignment horizontal="left" vertical="center"/>
      <protection locked="0"/>
    </xf>
    <xf numFmtId="0" fontId="37" fillId="0" borderId="3" xfId="0" quotePrefix="1" applyFont="1" applyBorder="1" applyAlignment="1" applyProtection="1">
      <alignment horizontal="left" vertical="center"/>
      <protection locked="0"/>
    </xf>
    <xf numFmtId="0" fontId="37" fillId="0" borderId="9" xfId="0" quotePrefix="1" applyFont="1" applyBorder="1" applyAlignment="1" applyProtection="1">
      <alignment horizontal="left" vertical="center"/>
      <protection locked="0"/>
    </xf>
    <xf numFmtId="0" fontId="41" fillId="3" borderId="6" xfId="0" applyFont="1" applyFill="1" applyBorder="1" applyAlignment="1">
      <alignment horizontal="center" vertical="center"/>
    </xf>
    <xf numFmtId="0" fontId="41" fillId="3" borderId="3" xfId="0" applyFont="1" applyFill="1" applyBorder="1" applyAlignment="1">
      <alignment horizontal="center" vertical="center"/>
    </xf>
    <xf numFmtId="0" fontId="41" fillId="3" borderId="9" xfId="0" applyFont="1" applyFill="1" applyBorder="1" applyAlignment="1">
      <alignment horizontal="center" vertical="center"/>
    </xf>
    <xf numFmtId="164" fontId="37" fillId="0" borderId="6" xfId="0" applyNumberFormat="1" applyFont="1" applyBorder="1" applyAlignment="1">
      <alignment horizontal="left" vertical="center"/>
    </xf>
    <xf numFmtId="164" fontId="37" fillId="0" borderId="3" xfId="0" applyNumberFormat="1" applyFont="1" applyBorder="1" applyAlignment="1">
      <alignment horizontal="left" vertical="center"/>
    </xf>
    <xf numFmtId="164" fontId="37" fillId="0" borderId="9" xfId="0" applyNumberFormat="1" applyFont="1" applyBorder="1" applyAlignment="1">
      <alignment horizontal="left" vertical="center"/>
    </xf>
    <xf numFmtId="0" fontId="47" fillId="0" borderId="13" xfId="0" applyFont="1" applyBorder="1" applyAlignment="1" applyProtection="1">
      <alignment horizontal="left" vertical="top"/>
      <protection locked="0"/>
    </xf>
    <xf numFmtId="0" fontId="47" fillId="0" borderId="2" xfId="0" applyFont="1" applyBorder="1" applyAlignment="1" applyProtection="1">
      <alignment horizontal="left" vertical="top"/>
      <protection locked="0"/>
    </xf>
    <xf numFmtId="0" fontId="48" fillId="0" borderId="2" xfId="0" applyFont="1" applyBorder="1" applyAlignment="1" applyProtection="1">
      <alignment horizontal="center" vertical="top"/>
      <protection locked="0"/>
    </xf>
    <xf numFmtId="0" fontId="48" fillId="0" borderId="14" xfId="0" applyFont="1" applyBorder="1" applyAlignment="1" applyProtection="1">
      <alignment horizontal="center" vertical="top"/>
      <protection locked="0"/>
    </xf>
    <xf numFmtId="0" fontId="47" fillId="0" borderId="6" xfId="0" applyFont="1" applyBorder="1" applyAlignment="1" applyProtection="1">
      <alignment horizontal="left" vertical="center"/>
      <protection locked="0"/>
    </xf>
    <xf numFmtId="0" fontId="47" fillId="0" borderId="3" xfId="0" applyFont="1" applyBorder="1" applyAlignment="1" applyProtection="1">
      <alignment horizontal="left" vertical="center"/>
      <protection locked="0"/>
    </xf>
    <xf numFmtId="0" fontId="48" fillId="0" borderId="3" xfId="0" applyFont="1" applyBorder="1" applyAlignment="1" applyProtection="1">
      <alignment horizontal="center" vertical="center"/>
      <protection locked="0"/>
    </xf>
    <xf numFmtId="0" fontId="48" fillId="0" borderId="9" xfId="0" applyFont="1" applyBorder="1" applyAlignment="1" applyProtection="1">
      <alignment horizontal="center" vertical="center"/>
      <protection locked="0"/>
    </xf>
    <xf numFmtId="0" fontId="26" fillId="0" borderId="13" xfId="0" applyFont="1" applyBorder="1" applyAlignment="1">
      <alignment horizontal="right" vertical="center"/>
    </xf>
    <xf numFmtId="0" fontId="32" fillId="0" borderId="2" xfId="0" applyFont="1" applyBorder="1" applyAlignment="1">
      <alignment horizontal="right" vertical="center"/>
    </xf>
    <xf numFmtId="0" fontId="32" fillId="0" borderId="14" xfId="0" applyFont="1" applyBorder="1" applyAlignment="1">
      <alignment horizontal="right" vertical="center"/>
    </xf>
    <xf numFmtId="0" fontId="34" fillId="0" borderId="16" xfId="0" applyFont="1" applyBorder="1" applyAlignment="1">
      <alignment horizontal="right" vertical="center"/>
    </xf>
    <xf numFmtId="0" fontId="34" fillId="0" borderId="1" xfId="0" applyFont="1" applyBorder="1" applyAlignment="1">
      <alignment horizontal="right" vertical="center"/>
    </xf>
    <xf numFmtId="0" fontId="34" fillId="0" borderId="8" xfId="0" applyFont="1" applyBorder="1" applyAlignment="1">
      <alignment horizontal="right" vertical="center"/>
    </xf>
    <xf numFmtId="3" fontId="37" fillId="0" borderId="6" xfId="0" applyNumberFormat="1" applyFont="1" applyBorder="1" applyAlignment="1" applyProtection="1">
      <alignment horizontal="left" vertical="center"/>
      <protection locked="0"/>
    </xf>
    <xf numFmtId="3" fontId="37" fillId="0" borderId="6" xfId="0" applyNumberFormat="1" applyFont="1" applyBorder="1" applyAlignment="1" applyProtection="1">
      <alignment horizontal="left" vertical="center" wrapText="1"/>
      <protection locked="0"/>
    </xf>
    <xf numFmtId="0" fontId="37" fillId="0" borderId="3" xfId="0" applyFont="1" applyBorder="1" applyAlignment="1" applyProtection="1">
      <alignment horizontal="left" vertical="center" wrapText="1"/>
      <protection locked="0"/>
    </xf>
    <xf numFmtId="0" fontId="37" fillId="0" borderId="9" xfId="0" applyFont="1" applyBorder="1" applyAlignment="1" applyProtection="1">
      <alignment horizontal="left" vertical="center" wrapText="1"/>
      <protection locked="0"/>
    </xf>
    <xf numFmtId="0" fontId="36" fillId="0" borderId="6" xfId="0" applyFont="1" applyBorder="1" applyAlignment="1">
      <alignment horizontal="left" vertical="center" wrapText="1"/>
    </xf>
    <xf numFmtId="0" fontId="36" fillId="0" borderId="3" xfId="0" applyFont="1" applyBorder="1" applyAlignment="1">
      <alignment horizontal="left" vertical="center" wrapText="1"/>
    </xf>
    <xf numFmtId="0" fontId="36" fillId="0" borderId="9" xfId="0" applyFont="1" applyBorder="1" applyAlignment="1">
      <alignment horizontal="left" vertical="center" wrapText="1"/>
    </xf>
    <xf numFmtId="14" fontId="37" fillId="0" borderId="6" xfId="0" applyNumberFormat="1" applyFont="1" applyBorder="1" applyAlignment="1" applyProtection="1">
      <alignment horizontal="left" vertical="center" wrapText="1"/>
      <protection locked="0"/>
    </xf>
    <xf numFmtId="14" fontId="37" fillId="0" borderId="3" xfId="0" applyNumberFormat="1" applyFont="1" applyBorder="1" applyAlignment="1" applyProtection="1">
      <alignment horizontal="left" vertical="center" wrapText="1"/>
      <protection locked="0"/>
    </xf>
    <xf numFmtId="14" fontId="37" fillId="0" borderId="9" xfId="0" applyNumberFormat="1" applyFont="1" applyBorder="1" applyAlignment="1" applyProtection="1">
      <alignment horizontal="left" vertical="center" wrapText="1"/>
      <protection locked="0"/>
    </xf>
    <xf numFmtId="0" fontId="41" fillId="3" borderId="15" xfId="0" applyFont="1" applyFill="1" applyBorder="1" applyAlignment="1">
      <alignment horizontal="center" vertical="center"/>
    </xf>
    <xf numFmtId="0" fontId="41" fillId="3" borderId="0" xfId="0" applyFont="1" applyFill="1" applyAlignment="1">
      <alignment horizontal="center" vertical="center"/>
    </xf>
    <xf numFmtId="0" fontId="41" fillId="3" borderId="7" xfId="0" applyFont="1" applyFill="1" applyBorder="1" applyAlignment="1">
      <alignment horizontal="center" vertical="center"/>
    </xf>
    <xf numFmtId="0" fontId="42" fillId="3" borderId="16" xfId="0" applyFont="1" applyFill="1" applyBorder="1" applyAlignment="1">
      <alignment horizontal="center" vertical="center"/>
    </xf>
    <xf numFmtId="0" fontId="42" fillId="3" borderId="1" xfId="0" applyFont="1" applyFill="1" applyBorder="1" applyAlignment="1">
      <alignment horizontal="center" vertical="center"/>
    </xf>
    <xf numFmtId="0" fontId="42" fillId="3" borderId="8" xfId="0" applyFont="1" applyFill="1" applyBorder="1" applyAlignment="1">
      <alignment horizontal="center" vertical="center"/>
    </xf>
    <xf numFmtId="0" fontId="34" fillId="0" borderId="3" xfId="0" applyFont="1" applyBorder="1" applyAlignment="1">
      <alignment horizontal="left" vertical="center"/>
    </xf>
    <xf numFmtId="0" fontId="83" fillId="0" borderId="0" xfId="10" applyFill="1"/>
    <xf numFmtId="0" fontId="0" fillId="0" borderId="13" xfId="0" applyBorder="1" applyProtection="1">
      <protection locked="0"/>
    </xf>
    <xf numFmtId="0" fontId="0" fillId="0" borderId="2" xfId="0" applyBorder="1" applyProtection="1">
      <protection locked="0"/>
    </xf>
    <xf numFmtId="0" fontId="0" fillId="0" borderId="14" xfId="0" applyBorder="1" applyProtection="1">
      <protection locked="0"/>
    </xf>
    <xf numFmtId="0" fontId="37" fillId="0" borderId="6" xfId="0" applyFont="1" applyBorder="1" applyAlignment="1" applyProtection="1">
      <alignment vertical="center" wrapText="1"/>
      <protection locked="0"/>
    </xf>
    <xf numFmtId="0" fontId="37" fillId="0" borderId="3" xfId="0" applyFont="1" applyBorder="1" applyAlignment="1" applyProtection="1">
      <alignment vertical="center" wrapText="1"/>
      <protection locked="0"/>
    </xf>
    <xf numFmtId="0" fontId="37" fillId="0" borderId="9" xfId="0" applyFont="1" applyBorder="1" applyAlignment="1" applyProtection="1">
      <alignment vertical="center" wrapText="1"/>
      <protection locked="0"/>
    </xf>
    <xf numFmtId="0" fontId="35" fillId="0" borderId="0" xfId="0" applyFont="1" applyAlignment="1">
      <alignment vertical="center"/>
    </xf>
    <xf numFmtId="0" fontId="48" fillId="0" borderId="16" xfId="0" applyFont="1" applyBorder="1" applyAlignment="1" applyProtection="1">
      <alignment horizontal="left"/>
      <protection locked="0"/>
    </xf>
    <xf numFmtId="0" fontId="48" fillId="0" borderId="1" xfId="0" applyFont="1" applyBorder="1" applyAlignment="1" applyProtection="1">
      <alignment horizontal="left"/>
      <protection locked="0"/>
    </xf>
    <xf numFmtId="9" fontId="51" fillId="0" borderId="1" xfId="0" applyNumberFormat="1" applyFont="1" applyBorder="1" applyAlignment="1" applyProtection="1">
      <alignment horizontal="center"/>
      <protection locked="0"/>
    </xf>
    <xf numFmtId="9" fontId="51" fillId="0" borderId="8" xfId="0" applyNumberFormat="1" applyFont="1" applyBorder="1" applyAlignment="1" applyProtection="1">
      <alignment horizontal="center"/>
      <protection locked="0"/>
    </xf>
    <xf numFmtId="0" fontId="49" fillId="0" borderId="13" xfId="0" applyFont="1" applyBorder="1" applyAlignment="1" applyProtection="1">
      <alignment horizontal="left" vertical="center"/>
      <protection locked="0"/>
    </xf>
    <xf numFmtId="0" fontId="49" fillId="0" borderId="2" xfId="0" applyFont="1" applyBorder="1" applyAlignment="1" applyProtection="1">
      <alignment horizontal="left" vertical="center"/>
      <protection locked="0"/>
    </xf>
    <xf numFmtId="0" fontId="50" fillId="0" borderId="2" xfId="0" applyFont="1" applyBorder="1" applyAlignment="1" applyProtection="1">
      <alignment horizontal="left" vertical="center"/>
      <protection locked="0"/>
    </xf>
    <xf numFmtId="0" fontId="50" fillId="0" borderId="2" xfId="0" applyFont="1" applyBorder="1" applyAlignment="1" applyProtection="1">
      <alignment horizontal="center" vertical="center"/>
      <protection locked="0"/>
    </xf>
    <xf numFmtId="0" fontId="50" fillId="0" borderId="14" xfId="0" applyFont="1" applyBorder="1" applyAlignment="1" applyProtection="1">
      <alignment horizontal="center" vertical="center"/>
      <protection locked="0"/>
    </xf>
    <xf numFmtId="0" fontId="48" fillId="0" borderId="6" xfId="0" applyFont="1" applyBorder="1" applyAlignment="1" applyProtection="1">
      <alignment horizontal="left"/>
      <protection locked="0"/>
    </xf>
    <xf numFmtId="0" fontId="48" fillId="0" borderId="3" xfId="0" applyFont="1" applyBorder="1" applyAlignment="1" applyProtection="1">
      <alignment horizontal="left"/>
      <protection locked="0"/>
    </xf>
    <xf numFmtId="9" fontId="48" fillId="0" borderId="3" xfId="0" applyNumberFormat="1" applyFont="1" applyBorder="1" applyAlignment="1" applyProtection="1">
      <alignment horizontal="center"/>
      <protection locked="0"/>
    </xf>
    <xf numFmtId="9" fontId="48" fillId="0" borderId="9" xfId="0" applyNumberFormat="1" applyFont="1" applyBorder="1" applyAlignment="1" applyProtection="1">
      <alignment horizontal="center"/>
      <protection locked="0"/>
    </xf>
    <xf numFmtId="0" fontId="35" fillId="0" borderId="13" xfId="0" applyFont="1" applyBorder="1" applyAlignment="1" applyProtection="1">
      <alignment horizontal="center" vertical="center"/>
      <protection locked="0"/>
    </xf>
    <xf numFmtId="0" fontId="35" fillId="0" borderId="14" xfId="0" applyFont="1" applyBorder="1" applyAlignment="1" applyProtection="1">
      <alignment horizontal="center" vertical="center"/>
      <protection locked="0"/>
    </xf>
    <xf numFmtId="0" fontId="35" fillId="0" borderId="16" xfId="0" applyFont="1" applyBorder="1" applyAlignment="1" applyProtection="1">
      <alignment horizontal="center" vertical="center"/>
      <protection locked="0"/>
    </xf>
    <xf numFmtId="0" fontId="35" fillId="0" borderId="8" xfId="0" applyFont="1" applyBorder="1" applyAlignment="1" applyProtection="1">
      <alignment horizontal="center" vertical="center"/>
      <protection locked="0"/>
    </xf>
    <xf numFmtId="0" fontId="37" fillId="0" borderId="13" xfId="0" applyFont="1" applyBorder="1" applyAlignment="1" applyProtection="1">
      <alignment horizontal="center" vertical="center"/>
      <protection locked="0"/>
    </xf>
    <xf numFmtId="0" fontId="37" fillId="0" borderId="14" xfId="0" applyFont="1" applyBorder="1" applyAlignment="1" applyProtection="1">
      <alignment horizontal="center" vertical="center"/>
      <protection locked="0"/>
    </xf>
    <xf numFmtId="0" fontId="37" fillId="0" borderId="16" xfId="0" applyFont="1" applyBorder="1" applyAlignment="1" applyProtection="1">
      <alignment horizontal="center" vertical="center"/>
      <protection locked="0"/>
    </xf>
    <xf numFmtId="0" fontId="37" fillId="0" borderId="8" xfId="0" applyFont="1" applyBorder="1" applyAlignment="1" applyProtection="1">
      <alignment horizontal="center" vertical="center"/>
      <protection locked="0"/>
    </xf>
    <xf numFmtId="0" fontId="51" fillId="0" borderId="16" xfId="0" applyFont="1" applyBorder="1" applyAlignment="1" applyProtection="1">
      <alignment horizontal="center"/>
      <protection locked="0"/>
    </xf>
    <xf numFmtId="0" fontId="51" fillId="0" borderId="1" xfId="0" applyFont="1" applyBorder="1" applyAlignment="1" applyProtection="1">
      <alignment horizontal="center"/>
      <protection locked="0"/>
    </xf>
    <xf numFmtId="0" fontId="51" fillId="0" borderId="1" xfId="0" applyFont="1" applyBorder="1" applyProtection="1">
      <protection locked="0"/>
    </xf>
    <xf numFmtId="0" fontId="51" fillId="0" borderId="1" xfId="0" applyFont="1" applyBorder="1" applyAlignment="1" applyProtection="1">
      <alignment vertical="top"/>
      <protection locked="0"/>
    </xf>
    <xf numFmtId="0" fontId="51" fillId="0" borderId="8" xfId="0" applyFont="1" applyBorder="1" applyAlignment="1" applyProtection="1">
      <alignment vertical="top"/>
      <protection locked="0"/>
    </xf>
    <xf numFmtId="0" fontId="41" fillId="6" borderId="6" xfId="0" applyFont="1" applyFill="1" applyBorder="1" applyAlignment="1">
      <alignment horizontal="center" vertical="center"/>
    </xf>
    <xf numFmtId="0" fontId="41" fillId="6" borderId="3" xfId="0" applyFont="1" applyFill="1" applyBorder="1" applyAlignment="1">
      <alignment horizontal="center" vertical="center"/>
    </xf>
    <xf numFmtId="0" fontId="41" fillId="6" borderId="9" xfId="0" applyFont="1" applyFill="1" applyBorder="1" applyAlignment="1">
      <alignment horizontal="center" vertical="center"/>
    </xf>
    <xf numFmtId="0" fontId="52" fillId="7" borderId="6" xfId="0" applyFont="1" applyFill="1" applyBorder="1" applyAlignment="1">
      <alignment horizontal="left" vertical="center"/>
    </xf>
    <xf numFmtId="0" fontId="52" fillId="7" borderId="3" xfId="0" applyFont="1" applyFill="1" applyBorder="1" applyAlignment="1">
      <alignment horizontal="left" vertical="center"/>
    </xf>
    <xf numFmtId="0" fontId="52" fillId="7" borderId="9" xfId="0" applyFont="1" applyFill="1" applyBorder="1" applyAlignment="1">
      <alignment horizontal="left" vertical="center"/>
    </xf>
    <xf numFmtId="0" fontId="34" fillId="0" borderId="6" xfId="0" applyFont="1" applyBorder="1" applyAlignment="1">
      <alignment horizontal="center" vertical="center" wrapText="1"/>
    </xf>
    <xf numFmtId="0" fontId="0" fillId="0" borderId="3" xfId="0" applyBorder="1" applyAlignment="1">
      <alignment horizontal="center" vertical="center" wrapText="1"/>
    </xf>
    <xf numFmtId="0" fontId="0" fillId="0" borderId="9" xfId="0" applyBorder="1" applyAlignment="1">
      <alignment horizontal="center" vertical="center" wrapText="1"/>
    </xf>
    <xf numFmtId="0" fontId="50" fillId="0" borderId="13" xfId="0" applyFont="1" applyBorder="1" applyAlignment="1" applyProtection="1">
      <alignment horizontal="left" vertical="top"/>
      <protection locked="0"/>
    </xf>
    <xf numFmtId="0" fontId="50" fillId="0" borderId="2" xfId="0" applyFont="1" applyBorder="1" applyAlignment="1" applyProtection="1">
      <alignment horizontal="left" vertical="top"/>
      <protection locked="0"/>
    </xf>
    <xf numFmtId="0" fontId="50" fillId="0" borderId="3" xfId="0" applyFont="1" applyBorder="1" applyAlignment="1" applyProtection="1">
      <alignment horizontal="left" vertical="top"/>
      <protection locked="0"/>
    </xf>
    <xf numFmtId="0" fontId="50" fillId="0" borderId="2" xfId="0" applyFont="1" applyBorder="1" applyAlignment="1" applyProtection="1">
      <alignment horizontal="center" vertical="top"/>
      <protection locked="0"/>
    </xf>
    <xf numFmtId="0" fontId="50" fillId="0" borderId="14" xfId="0" applyFont="1" applyBorder="1" applyAlignment="1" applyProtection="1">
      <alignment horizontal="center" vertical="top"/>
      <protection locked="0"/>
    </xf>
    <xf numFmtId="0" fontId="34" fillId="0" borderId="3" xfId="0" applyFont="1" applyBorder="1" applyAlignment="1">
      <alignment horizontal="center" vertical="center" wrapText="1"/>
    </xf>
    <xf numFmtId="3" fontId="35" fillId="0" borderId="13" xfId="0" applyNumberFormat="1" applyFont="1" applyBorder="1" applyAlignment="1" applyProtection="1">
      <alignment horizontal="center" vertical="center"/>
      <protection locked="0"/>
    </xf>
    <xf numFmtId="0" fontId="35" fillId="0" borderId="2" xfId="0" applyFont="1" applyBorder="1" applyAlignment="1" applyProtection="1">
      <alignment horizontal="center" vertical="center"/>
      <protection locked="0"/>
    </xf>
    <xf numFmtId="0" fontId="35" fillId="0" borderId="1" xfId="0" applyFont="1" applyBorder="1" applyAlignment="1" applyProtection="1">
      <alignment horizontal="center" vertical="center"/>
      <protection locked="0"/>
    </xf>
    <xf numFmtId="0" fontId="35" fillId="0" borderId="13" xfId="0" applyFont="1" applyBorder="1" applyAlignment="1">
      <alignment horizontal="center" vertical="center" wrapText="1"/>
    </xf>
    <xf numFmtId="0" fontId="35" fillId="0" borderId="2" xfId="0" applyFont="1" applyBorder="1" applyAlignment="1">
      <alignment horizontal="center" vertical="center" wrapText="1"/>
    </xf>
    <xf numFmtId="0" fontId="35" fillId="0" borderId="14" xfId="0" applyFont="1" applyBorder="1" applyAlignment="1">
      <alignment horizontal="center" vertical="center" wrapText="1"/>
    </xf>
    <xf numFmtId="0" fontId="35" fillId="0" borderId="16" xfId="0" applyFont="1" applyBorder="1" applyAlignment="1">
      <alignment horizontal="center" vertical="center" wrapText="1"/>
    </xf>
    <xf numFmtId="0" fontId="35" fillId="0" borderId="1" xfId="0" applyFont="1" applyBorder="1" applyAlignment="1">
      <alignment horizontal="center" vertical="center" wrapText="1"/>
    </xf>
    <xf numFmtId="0" fontId="35" fillId="0" borderId="8" xfId="0" applyFont="1" applyBorder="1" applyAlignment="1">
      <alignment horizontal="center" vertical="center" wrapText="1"/>
    </xf>
    <xf numFmtId="0" fontId="37" fillId="0" borderId="13" xfId="0" applyFont="1" applyBorder="1" applyAlignment="1" applyProtection="1">
      <alignment vertical="center"/>
      <protection locked="0"/>
    </xf>
    <xf numFmtId="0" fontId="37" fillId="0" borderId="2" xfId="0" applyFont="1" applyBorder="1" applyAlignment="1" applyProtection="1">
      <alignment vertical="center"/>
      <protection locked="0"/>
    </xf>
    <xf numFmtId="0" fontId="37" fillId="0" borderId="16" xfId="0" applyFont="1" applyBorder="1" applyAlignment="1" applyProtection="1">
      <alignment vertical="center"/>
      <protection locked="0"/>
    </xf>
    <xf numFmtId="0" fontId="37" fillId="0" borderId="1" xfId="0" applyFont="1" applyBorder="1" applyAlignment="1" applyProtection="1">
      <alignment vertical="center"/>
      <protection locked="0"/>
    </xf>
    <xf numFmtId="0" fontId="34" fillId="0" borderId="5" xfId="0" applyFont="1" applyBorder="1" applyAlignment="1">
      <alignment horizontal="right" vertical="center"/>
    </xf>
    <xf numFmtId="0" fontId="16" fillId="0" borderId="5" xfId="0" applyFont="1" applyBorder="1" applyAlignment="1">
      <alignment vertical="center"/>
    </xf>
    <xf numFmtId="0" fontId="33" fillId="8" borderId="0" xfId="0" applyFont="1" applyFill="1" applyAlignment="1">
      <alignment horizontal="left" vertical="top" wrapText="1"/>
    </xf>
    <xf numFmtId="0" fontId="34" fillId="0" borderId="9" xfId="0" applyFont="1" applyBorder="1" applyAlignment="1">
      <alignment horizontal="center" vertical="center" wrapText="1"/>
    </xf>
    <xf numFmtId="0" fontId="34" fillId="0" borderId="5" xfId="0" applyFont="1" applyBorder="1" applyAlignment="1">
      <alignment horizontal="center" vertical="center" wrapText="1"/>
    </xf>
    <xf numFmtId="0" fontId="52" fillId="8" borderId="16" xfId="0" applyFont="1" applyFill="1" applyBorder="1" applyAlignment="1">
      <alignment horizontal="left" vertical="center"/>
    </xf>
    <xf numFmtId="0" fontId="33" fillId="8" borderId="1" xfId="0" applyFont="1" applyFill="1" applyBorder="1" applyAlignment="1">
      <alignment vertical="center"/>
    </xf>
    <xf numFmtId="0" fontId="33" fillId="8" borderId="8" xfId="0" applyFont="1" applyFill="1" applyBorder="1" applyAlignment="1">
      <alignment vertical="center"/>
    </xf>
    <xf numFmtId="0" fontId="52" fillId="8" borderId="0" xfId="0" applyFont="1" applyFill="1" applyAlignment="1">
      <alignment horizontal="left" vertical="center"/>
    </xf>
    <xf numFmtId="0" fontId="52" fillId="8" borderId="8" xfId="0" applyFont="1" applyFill="1" applyBorder="1" applyAlignment="1">
      <alignment horizontal="left" vertical="center"/>
    </xf>
    <xf numFmtId="0" fontId="35" fillId="0" borderId="13" xfId="0" applyFont="1" applyBorder="1" applyAlignment="1">
      <alignment vertical="center"/>
    </xf>
    <xf numFmtId="0" fontId="35" fillId="0" borderId="2" xfId="0" applyFont="1" applyBorder="1" applyAlignment="1">
      <alignment vertical="center"/>
    </xf>
    <xf numFmtId="0" fontId="35" fillId="0" borderId="14" xfId="0" applyFont="1" applyBorder="1" applyAlignment="1">
      <alignment vertical="center"/>
    </xf>
    <xf numFmtId="0" fontId="35" fillId="0" borderId="15" xfId="0" applyFont="1" applyBorder="1" applyAlignment="1">
      <alignment vertical="center"/>
    </xf>
    <xf numFmtId="0" fontId="35" fillId="0" borderId="7" xfId="0" applyFont="1" applyBorder="1" applyAlignment="1">
      <alignment vertical="center"/>
    </xf>
    <xf numFmtId="0" fontId="35" fillId="0" borderId="16" xfId="0" applyFont="1" applyBorder="1" applyAlignment="1">
      <alignment vertical="center"/>
    </xf>
    <xf numFmtId="0" fontId="35" fillId="0" borderId="1" xfId="0" applyFont="1" applyBorder="1" applyAlignment="1">
      <alignment vertical="center"/>
    </xf>
    <xf numFmtId="0" fontId="35" fillId="0" borderId="8" xfId="0" applyFont="1" applyBorder="1" applyAlignment="1">
      <alignment vertical="center"/>
    </xf>
    <xf numFmtId="0" fontId="8" fillId="0" borderId="9" xfId="6" applyBorder="1" applyAlignment="1" applyProtection="1">
      <alignment horizontal="left" vertical="center"/>
      <protection locked="0"/>
    </xf>
    <xf numFmtId="0" fontId="8" fillId="0" borderId="5" xfId="6" applyBorder="1" applyAlignment="1" applyProtection="1">
      <alignment horizontal="left" vertical="center"/>
      <protection locked="0"/>
    </xf>
    <xf numFmtId="0" fontId="8" fillId="0" borderId="3" xfId="6" applyBorder="1" applyAlignment="1" applyProtection="1">
      <alignment horizontal="left" vertical="center"/>
      <protection locked="0"/>
    </xf>
    <xf numFmtId="0" fontId="59" fillId="0" borderId="1" xfId="6" applyFont="1" applyBorder="1" applyAlignment="1">
      <alignment horizontal="center" vertical="center"/>
    </xf>
    <xf numFmtId="0" fontId="59" fillId="0" borderId="3" xfId="6" applyFont="1" applyBorder="1" applyAlignment="1">
      <alignment horizontal="center" vertical="center"/>
    </xf>
    <xf numFmtId="0" fontId="16" fillId="0" borderId="3" xfId="6" applyFont="1" applyBorder="1" applyAlignment="1">
      <alignment horizontal="center"/>
    </xf>
    <xf numFmtId="0" fontId="16" fillId="0" borderId="9" xfId="6" applyFont="1" applyBorder="1" applyAlignment="1">
      <alignment horizontal="center"/>
    </xf>
    <xf numFmtId="0" fontId="26" fillId="0" borderId="6" xfId="6" applyFont="1" applyBorder="1" applyAlignment="1">
      <alignment horizontal="right" vertical="center"/>
    </xf>
    <xf numFmtId="0" fontId="26" fillId="0" borderId="3" xfId="6" applyFont="1" applyBorder="1" applyAlignment="1">
      <alignment horizontal="right" vertical="center"/>
    </xf>
    <xf numFmtId="0" fontId="26" fillId="0" borderId="9" xfId="6" applyFont="1" applyBorder="1" applyAlignment="1">
      <alignment horizontal="right" vertical="center"/>
    </xf>
    <xf numFmtId="1" fontId="31" fillId="0" borderId="5" xfId="6" applyNumberFormat="1" applyFont="1" applyBorder="1" applyAlignment="1" applyProtection="1">
      <alignment horizontal="left" vertical="center"/>
      <protection locked="0"/>
    </xf>
    <xf numFmtId="0" fontId="7" fillId="0" borderId="5" xfId="6" applyFont="1" applyBorder="1" applyAlignment="1" applyProtection="1">
      <alignment horizontal="left" vertical="center"/>
      <protection locked="0"/>
    </xf>
    <xf numFmtId="0" fontId="57" fillId="0" borderId="6" xfId="6" applyFont="1" applyBorder="1" applyAlignment="1">
      <alignment horizontal="left" vertical="center"/>
    </xf>
    <xf numFmtId="0" fontId="57" fillId="0" borderId="9" xfId="6" applyFont="1" applyBorder="1" applyAlignment="1">
      <alignment horizontal="left" vertical="center"/>
    </xf>
    <xf numFmtId="1" fontId="31" fillId="0" borderId="6" xfId="6" applyNumberFormat="1" applyFont="1" applyBorder="1" applyAlignment="1" applyProtection="1">
      <alignment horizontal="left" vertical="center"/>
      <protection locked="0"/>
    </xf>
    <xf numFmtId="1" fontId="31" fillId="0" borderId="3" xfId="6" applyNumberFormat="1" applyFont="1" applyBorder="1" applyAlignment="1" applyProtection="1">
      <alignment horizontal="left" vertical="center"/>
      <protection locked="0"/>
    </xf>
    <xf numFmtId="1" fontId="31" fillId="0" borderId="9" xfId="6" applyNumberFormat="1" applyFont="1" applyBorder="1" applyAlignment="1" applyProtection="1">
      <alignment horizontal="left" vertical="center"/>
      <protection locked="0"/>
    </xf>
    <xf numFmtId="0" fontId="57" fillId="0" borderId="10" xfId="6" applyFont="1" applyBorder="1" applyAlignment="1">
      <alignment horizontal="left" vertical="center"/>
    </xf>
    <xf numFmtId="0" fontId="8" fillId="0" borderId="12" xfId="6" applyBorder="1" applyAlignment="1">
      <alignment horizontal="left" vertical="center"/>
    </xf>
    <xf numFmtId="41" fontId="31" fillId="0" borderId="15" xfId="6" applyNumberFormat="1" applyFont="1" applyBorder="1" applyAlignment="1" applyProtection="1">
      <alignment horizontal="left" vertical="center" wrapText="1"/>
      <protection locked="0"/>
    </xf>
    <xf numFmtId="0" fontId="31" fillId="0" borderId="0" xfId="6" applyFont="1" applyAlignment="1" applyProtection="1">
      <alignment horizontal="left" vertical="center" wrapText="1"/>
      <protection locked="0"/>
    </xf>
    <xf numFmtId="0" fontId="31" fillId="0" borderId="7" xfId="6" applyFont="1" applyBorder="1" applyAlignment="1" applyProtection="1">
      <alignment horizontal="left" vertical="center" wrapText="1"/>
      <protection locked="0"/>
    </xf>
    <xf numFmtId="0" fontId="31" fillId="0" borderId="16" xfId="6" applyFont="1" applyBorder="1" applyAlignment="1" applyProtection="1">
      <alignment horizontal="left" vertical="center" wrapText="1"/>
      <protection locked="0"/>
    </xf>
    <xf numFmtId="0" fontId="31" fillId="0" borderId="1" xfId="6" applyFont="1" applyBorder="1" applyAlignment="1" applyProtection="1">
      <alignment horizontal="left" vertical="center" wrapText="1"/>
      <protection locked="0"/>
    </xf>
    <xf numFmtId="0" fontId="31" fillId="0" borderId="8" xfId="6" applyFont="1" applyBorder="1" applyAlignment="1" applyProtection="1">
      <alignment horizontal="left" vertical="center" wrapText="1"/>
      <protection locked="0"/>
    </xf>
    <xf numFmtId="0" fontId="57" fillId="0" borderId="13" xfId="6" applyFont="1" applyBorder="1" applyAlignment="1">
      <alignment horizontal="left" vertical="center"/>
    </xf>
    <xf numFmtId="0" fontId="8" fillId="0" borderId="14" xfId="6" applyBorder="1" applyAlignment="1">
      <alignment horizontal="left" vertical="center"/>
    </xf>
    <xf numFmtId="0" fontId="8" fillId="0" borderId="16" xfId="6" applyBorder="1" applyAlignment="1">
      <alignment horizontal="left" vertical="center"/>
    </xf>
    <xf numFmtId="0" fontId="8" fillId="0" borderId="8" xfId="6" applyBorder="1" applyAlignment="1">
      <alignment horizontal="left" vertical="center"/>
    </xf>
    <xf numFmtId="0" fontId="31" fillId="0" borderId="13" xfId="6" applyFont="1" applyBorder="1" applyAlignment="1" applyProtection="1">
      <alignment horizontal="left" vertical="center"/>
      <protection locked="0"/>
    </xf>
    <xf numFmtId="0" fontId="31" fillId="0" borderId="2" xfId="6" applyFont="1" applyBorder="1" applyAlignment="1" applyProtection="1">
      <alignment horizontal="left" vertical="center"/>
      <protection locked="0"/>
    </xf>
    <xf numFmtId="0" fontId="31" fillId="0" borderId="14" xfId="6" applyFont="1" applyBorder="1" applyAlignment="1" applyProtection="1">
      <alignment horizontal="left" vertical="center"/>
      <protection locked="0"/>
    </xf>
    <xf numFmtId="0" fontId="31" fillId="0" borderId="16" xfId="6" applyFont="1" applyBorder="1" applyAlignment="1" applyProtection="1">
      <alignment horizontal="left" vertical="center"/>
      <protection locked="0"/>
    </xf>
    <xf numFmtId="0" fontId="31" fillId="0" borderId="1" xfId="6" applyFont="1" applyBorder="1" applyAlignment="1" applyProtection="1">
      <alignment horizontal="left" vertical="center"/>
      <protection locked="0"/>
    </xf>
    <xf numFmtId="0" fontId="31" fillId="0" borderId="8" xfId="6" applyFont="1" applyBorder="1" applyAlignment="1" applyProtection="1">
      <alignment horizontal="left" vertical="center"/>
      <protection locked="0"/>
    </xf>
    <xf numFmtId="0" fontId="36" fillId="0" borderId="3" xfId="6" applyFont="1" applyBorder="1" applyAlignment="1">
      <alignment horizontal="right" vertical="center"/>
    </xf>
    <xf numFmtId="0" fontId="58" fillId="0" borderId="6" xfId="6" applyFont="1" applyBorder="1" applyAlignment="1">
      <alignment horizontal="center" vertical="center"/>
    </xf>
    <xf numFmtId="0" fontId="58" fillId="0" borderId="3" xfId="6" applyFont="1" applyBorder="1" applyAlignment="1">
      <alignment horizontal="center" vertical="center"/>
    </xf>
    <xf numFmtId="0" fontId="58" fillId="0" borderId="9" xfId="6" applyFont="1" applyBorder="1" applyAlignment="1">
      <alignment horizontal="center" vertical="center"/>
    </xf>
    <xf numFmtId="0" fontId="35" fillId="11" borderId="13" xfId="6" applyFont="1" applyFill="1" applyBorder="1" applyAlignment="1">
      <alignment horizontal="center"/>
    </xf>
    <xf numFmtId="0" fontId="35" fillId="11" borderId="2" xfId="6" applyFont="1" applyFill="1" applyBorder="1" applyAlignment="1">
      <alignment horizontal="center"/>
    </xf>
    <xf numFmtId="0" fontId="35" fillId="11" borderId="14" xfId="6" applyFont="1" applyFill="1" applyBorder="1" applyAlignment="1">
      <alignment horizontal="center"/>
    </xf>
    <xf numFmtId="0" fontId="44" fillId="11" borderId="16" xfId="3" applyFont="1" applyFill="1" applyBorder="1" applyAlignment="1" applyProtection="1">
      <alignment horizontal="center"/>
    </xf>
    <xf numFmtId="0" fontId="44" fillId="11" borderId="1" xfId="3" applyFont="1" applyFill="1" applyBorder="1" applyAlignment="1" applyProtection="1">
      <alignment horizontal="center"/>
    </xf>
    <xf numFmtId="0" fontId="44" fillId="11" borderId="8" xfId="3" applyFont="1" applyFill="1" applyBorder="1" applyAlignment="1" applyProtection="1">
      <alignment horizontal="center"/>
    </xf>
    <xf numFmtId="0" fontId="59" fillId="0" borderId="6" xfId="6" applyFont="1" applyBorder="1" applyAlignment="1">
      <alignment horizontal="center" vertical="center"/>
    </xf>
    <xf numFmtId="0" fontId="59" fillId="0" borderId="9" xfId="6" applyFont="1" applyBorder="1" applyAlignment="1">
      <alignment horizontal="center" vertical="center"/>
    </xf>
    <xf numFmtId="0" fontId="9" fillId="0" borderId="9" xfId="5" applyBorder="1" applyAlignment="1" applyProtection="1">
      <alignment horizontal="left" vertical="center"/>
      <protection locked="0"/>
    </xf>
    <xf numFmtId="0" fontId="9" fillId="0" borderId="5" xfId="5" applyBorder="1" applyAlignment="1" applyProtection="1">
      <alignment horizontal="left" vertical="center"/>
      <protection locked="0"/>
    </xf>
    <xf numFmtId="0" fontId="59" fillId="0" borderId="1" xfId="5" applyFont="1" applyBorder="1" applyAlignment="1">
      <alignment horizontal="center" vertical="center"/>
    </xf>
    <xf numFmtId="0" fontId="59" fillId="0" borderId="3" xfId="5" applyFont="1" applyBorder="1" applyAlignment="1">
      <alignment horizontal="center" vertical="center"/>
    </xf>
    <xf numFmtId="0" fontId="16" fillId="0" borderId="3" xfId="5" applyFont="1" applyBorder="1" applyAlignment="1">
      <alignment horizontal="center"/>
    </xf>
    <xf numFmtId="0" fontId="16" fillId="0" borderId="9" xfId="5" applyFont="1" applyBorder="1" applyAlignment="1">
      <alignment horizontal="center"/>
    </xf>
    <xf numFmtId="0" fontId="9" fillId="0" borderId="3" xfId="5" applyBorder="1" applyAlignment="1" applyProtection="1">
      <alignment horizontal="left" vertical="center"/>
      <protection locked="0"/>
    </xf>
    <xf numFmtId="0" fontId="30" fillId="0" borderId="6" xfId="5" applyFont="1" applyBorder="1" applyAlignment="1">
      <alignment horizontal="right" vertical="center"/>
    </xf>
    <xf numFmtId="0" fontId="26" fillId="0" borderId="3" xfId="5" applyFont="1" applyBorder="1" applyAlignment="1">
      <alignment horizontal="right" vertical="center"/>
    </xf>
    <xf numFmtId="0" fontId="26" fillId="0" borderId="9" xfId="5" applyFont="1" applyBorder="1" applyAlignment="1">
      <alignment horizontal="right" vertical="center"/>
    </xf>
    <xf numFmtId="0" fontId="57" fillId="0" borderId="6" xfId="5" applyFont="1" applyBorder="1" applyAlignment="1">
      <alignment horizontal="left" vertical="center"/>
    </xf>
    <xf numFmtId="0" fontId="57" fillId="0" borderId="9" xfId="5" applyFont="1" applyBorder="1" applyAlignment="1">
      <alignment horizontal="left" vertical="center"/>
    </xf>
    <xf numFmtId="0" fontId="57" fillId="0" borderId="10" xfId="5" applyFont="1" applyBorder="1" applyAlignment="1">
      <alignment horizontal="left" vertical="center"/>
    </xf>
    <xf numFmtId="0" fontId="9" fillId="0" borderId="12" xfId="5" applyBorder="1" applyAlignment="1">
      <alignment horizontal="left" vertical="center"/>
    </xf>
    <xf numFmtId="0" fontId="57" fillId="0" borderId="13" xfId="5" applyFont="1" applyBorder="1" applyAlignment="1">
      <alignment horizontal="left" vertical="center"/>
    </xf>
    <xf numFmtId="0" fontId="9" fillId="0" borderId="14" xfId="5" applyBorder="1" applyAlignment="1">
      <alignment horizontal="left" vertical="center"/>
    </xf>
    <xf numFmtId="0" fontId="9" fillId="0" borderId="16" xfId="5" applyBorder="1" applyAlignment="1">
      <alignment horizontal="left" vertical="center"/>
    </xf>
    <xf numFmtId="0" fontId="9" fillId="0" borderId="8" xfId="5" applyBorder="1" applyAlignment="1">
      <alignment horizontal="left" vertical="center"/>
    </xf>
    <xf numFmtId="0" fontId="36" fillId="0" borderId="3" xfId="5" applyFont="1" applyBorder="1" applyAlignment="1">
      <alignment horizontal="right" vertical="center"/>
    </xf>
    <xf numFmtId="0" fontId="58" fillId="0" borderId="6" xfId="5" applyFont="1" applyBorder="1" applyAlignment="1">
      <alignment horizontal="center" vertical="center"/>
    </xf>
    <xf numFmtId="0" fontId="58" fillId="0" borderId="3" xfId="5" applyFont="1" applyBorder="1" applyAlignment="1">
      <alignment horizontal="center" vertical="center"/>
    </xf>
    <xf numFmtId="0" fontId="58" fillId="0" borderId="9" xfId="5" applyFont="1" applyBorder="1" applyAlignment="1">
      <alignment horizontal="center" vertical="center"/>
    </xf>
    <xf numFmtId="0" fontId="50" fillId="12" borderId="13" xfId="5" applyFont="1" applyFill="1" applyBorder="1" applyAlignment="1">
      <alignment horizontal="center"/>
    </xf>
    <xf numFmtId="0" fontId="50" fillId="12" borderId="2" xfId="5" applyFont="1" applyFill="1" applyBorder="1" applyAlignment="1">
      <alignment horizontal="center"/>
    </xf>
    <xf numFmtId="0" fontId="50" fillId="12" borderId="14" xfId="5" applyFont="1" applyFill="1" applyBorder="1" applyAlignment="1">
      <alignment horizontal="center"/>
    </xf>
    <xf numFmtId="0" fontId="59" fillId="0" borderId="6" xfId="5" applyFont="1" applyBorder="1" applyAlignment="1">
      <alignment horizontal="center" vertical="center"/>
    </xf>
    <xf numFmtId="0" fontId="59" fillId="0" borderId="9" xfId="5" applyFont="1" applyBorder="1" applyAlignment="1">
      <alignment horizontal="center" vertical="center"/>
    </xf>
    <xf numFmtId="0" fontId="61" fillId="3" borderId="0" xfId="0" applyFont="1" applyFill="1" applyAlignment="1">
      <alignment horizontal="center" vertical="center"/>
    </xf>
    <xf numFmtId="0" fontId="87" fillId="3" borderId="0" xfId="0" applyFont="1" applyFill="1" applyAlignment="1">
      <alignment horizontal="center" vertical="center"/>
    </xf>
    <xf numFmtId="0" fontId="13" fillId="3" borderId="4" xfId="0" applyFont="1" applyFill="1" applyBorder="1" applyAlignment="1" applyProtection="1">
      <alignment horizontal="center" vertical="center"/>
      <protection locked="0"/>
    </xf>
    <xf numFmtId="0" fontId="13" fillId="3" borderId="17" xfId="0" applyFont="1" applyFill="1" applyBorder="1" applyAlignment="1">
      <alignment horizontal="center" vertical="center"/>
    </xf>
    <xf numFmtId="0" fontId="86" fillId="0" borderId="3" xfId="0" applyFont="1" applyBorder="1" applyAlignment="1">
      <alignment horizontal="left" vertical="center" wrapText="1"/>
    </xf>
    <xf numFmtId="0" fontId="86" fillId="0" borderId="2" xfId="0" applyFont="1" applyBorder="1" applyAlignment="1">
      <alignment horizontal="left" vertical="center"/>
    </xf>
    <xf numFmtId="0" fontId="13" fillId="0" borderId="3" xfId="1" applyFont="1" applyBorder="1" applyAlignment="1">
      <alignment horizontal="left" vertical="center"/>
    </xf>
    <xf numFmtId="0" fontId="86" fillId="0" borderId="0" xfId="0" applyFont="1" applyAlignment="1">
      <alignment horizontal="left" vertical="center" wrapText="1"/>
    </xf>
    <xf numFmtId="10" fontId="13" fillId="0" borderId="0" xfId="1" applyNumberFormat="1" applyFont="1" applyAlignment="1">
      <alignment horizontal="left" vertical="center"/>
    </xf>
    <xf numFmtId="0" fontId="13" fillId="0" borderId="2" xfId="1" applyFont="1" applyBorder="1" applyAlignment="1">
      <alignment horizontal="left" vertical="center"/>
    </xf>
    <xf numFmtId="10" fontId="13" fillId="0" borderId="2" xfId="1" applyNumberFormat="1" applyFont="1" applyBorder="1" applyAlignment="1">
      <alignment horizontal="left" vertical="center"/>
    </xf>
    <xf numFmtId="49" fontId="86" fillId="0" borderId="2" xfId="0" applyNumberFormat="1" applyFont="1" applyBorder="1" applyAlignment="1">
      <alignment horizontal="left" vertical="center"/>
    </xf>
    <xf numFmtId="0" fontId="13" fillId="0" borderId="2" xfId="1" applyFont="1" applyBorder="1" applyAlignment="1">
      <alignment horizontal="left" vertical="center" wrapText="1"/>
    </xf>
    <xf numFmtId="0" fontId="86" fillId="0" borderId="1" xfId="0" applyFont="1" applyBorder="1" applyAlignment="1">
      <alignment horizontal="left" vertical="center"/>
    </xf>
    <xf numFmtId="0" fontId="13" fillId="0" borderId="0" xfId="1" applyFont="1" applyAlignment="1">
      <alignment horizontal="left" vertical="center"/>
    </xf>
    <xf numFmtId="10" fontId="13" fillId="0" borderId="3" xfId="1" applyNumberFormat="1" applyFont="1" applyBorder="1" applyAlignment="1">
      <alignment horizontal="left" vertical="center" wrapText="1"/>
    </xf>
    <xf numFmtId="49" fontId="86" fillId="0" borderId="2" xfId="0" applyNumberFormat="1" applyFont="1" applyBorder="1" applyAlignment="1">
      <alignment horizontal="left" vertical="center" wrapText="1"/>
    </xf>
    <xf numFmtId="0" fontId="13" fillId="0" borderId="3" xfId="1" applyFont="1" applyBorder="1" applyAlignment="1">
      <alignment horizontal="left" vertical="center" wrapText="1"/>
    </xf>
    <xf numFmtId="49" fontId="86" fillId="0" borderId="3" xfId="0" applyNumberFormat="1" applyFont="1" applyBorder="1" applyAlignment="1">
      <alignment horizontal="left" vertical="center"/>
    </xf>
    <xf numFmtId="49" fontId="86" fillId="0" borderId="0" xfId="0" applyNumberFormat="1" applyFont="1" applyAlignment="1">
      <alignment horizontal="left" vertical="center"/>
    </xf>
    <xf numFmtId="0" fontId="13" fillId="0" borderId="0" xfId="1" applyFont="1" applyAlignment="1">
      <alignment horizontal="left" vertical="center" wrapText="1"/>
    </xf>
    <xf numFmtId="49" fontId="13" fillId="0" borderId="3" xfId="1" applyNumberFormat="1" applyFont="1" applyBorder="1" applyAlignment="1">
      <alignment horizontal="center" vertical="center"/>
    </xf>
    <xf numFmtId="0" fontId="88" fillId="0" borderId="3" xfId="1" applyFont="1" applyBorder="1" applyAlignment="1">
      <alignment horizontal="left" vertical="center"/>
    </xf>
    <xf numFmtId="0" fontId="88" fillId="0" borderId="0" xfId="1" applyFont="1" applyAlignment="1">
      <alignment horizontal="left" vertical="center"/>
    </xf>
    <xf numFmtId="0" fontId="86" fillId="0" borderId="2" xfId="0" applyFont="1" applyBorder="1" applyAlignment="1">
      <alignment horizontal="left" vertical="center" wrapText="1"/>
    </xf>
    <xf numFmtId="0" fontId="86" fillId="0" borderId="3" xfId="0" applyFont="1" applyBorder="1" applyAlignment="1">
      <alignment horizontal="left" vertical="center"/>
    </xf>
    <xf numFmtId="49" fontId="13" fillId="0" borderId="0" xfId="1" applyNumberFormat="1" applyFont="1" applyAlignment="1">
      <alignment horizontal="center" vertical="center"/>
    </xf>
  </cellXfs>
  <cellStyles count="11">
    <cellStyle name="Comma" xfId="7" builtinId="3"/>
    <cellStyle name="Currency" xfId="8" builtinId="4"/>
    <cellStyle name="Hyperlink" xfId="10" builtinId="8"/>
    <cellStyle name="Hyperlink 2" xfId="3" xr:uid="{00000000-0005-0000-0000-000002000000}"/>
    <cellStyle name="Hyperlink 2 2" xfId="4" xr:uid="{00000000-0005-0000-0000-000003000000}"/>
    <cellStyle name="Normal" xfId="0" builtinId="0"/>
    <cellStyle name="Normal 2" xfId="1" xr:uid="{00000000-0005-0000-0000-000005000000}"/>
    <cellStyle name="Normal 3" xfId="2" xr:uid="{00000000-0005-0000-0000-000006000000}"/>
    <cellStyle name="Normal 4" xfId="5" xr:uid="{00000000-0005-0000-0000-000007000000}"/>
    <cellStyle name="Normal 5" xfId="6" xr:uid="{00000000-0005-0000-0000-000008000000}"/>
    <cellStyle name="Percent" xfId="9" builtin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F1BB0F"/>
      <color rgb="FFCC9900"/>
      <color rgb="FF333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1.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microsoft.com/office/2017/10/relationships/person" Target="persons/perso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1" Type="http://schemas.openxmlformats.org/officeDocument/2006/relationships/image" Target="../media/image1.jpg"/></Relationships>
</file>

<file path=xl/drawings/_rels/drawing3.xml.rels><?xml version="1.0" encoding="UTF-8" standalone="yes"?>
<Relationships xmlns="http://schemas.openxmlformats.org/package/2006/relationships"><Relationship Id="rId1" Type="http://schemas.openxmlformats.org/officeDocument/2006/relationships/image" Target="../media/image1.jpg"/></Relationships>
</file>

<file path=xl/drawings/_rels/drawing4.xml.rels><?xml version="1.0" encoding="UTF-8" standalone="yes"?>
<Relationships xmlns="http://schemas.openxmlformats.org/package/2006/relationships"><Relationship Id="rId1" Type="http://schemas.openxmlformats.org/officeDocument/2006/relationships/image" Target="../media/image1.jpg"/></Relationships>
</file>

<file path=xl/drawings/_rels/drawing5.xml.rels><?xml version="1.0" encoding="UTF-8" standalone="yes"?>
<Relationships xmlns="http://schemas.openxmlformats.org/package/2006/relationships"><Relationship Id="rId1" Type="http://schemas.openxmlformats.org/officeDocument/2006/relationships/image" Target="../media/image1.jpg"/></Relationships>
</file>

<file path=xl/drawings/_rels/drawing6.xml.rels><?xml version="1.0" encoding="UTF-8" standalone="yes"?>
<Relationships xmlns="http://schemas.openxmlformats.org/package/2006/relationships"><Relationship Id="rId1" Type="http://schemas.openxmlformats.org/officeDocument/2006/relationships/image" Target="../media/image1.jpg"/></Relationships>
</file>

<file path=xl/drawings/_rels/drawing7.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editAs="oneCell">
    <xdr:from>
      <xdr:col>1</xdr:col>
      <xdr:colOff>120650</xdr:colOff>
      <xdr:row>5</xdr:row>
      <xdr:rowOff>50800</xdr:rowOff>
    </xdr:from>
    <xdr:to>
      <xdr:col>4</xdr:col>
      <xdr:colOff>307033</xdr:colOff>
      <xdr:row>7</xdr:row>
      <xdr:rowOff>123825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32000" y="1035050"/>
          <a:ext cx="3191614" cy="4699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100011</xdr:colOff>
      <xdr:row>0</xdr:row>
      <xdr:rowOff>52387</xdr:rowOff>
    </xdr:from>
    <xdr:to>
      <xdr:col>5</xdr:col>
      <xdr:colOff>561125</xdr:colOff>
      <xdr:row>0</xdr:row>
      <xdr:rowOff>528637</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1" y="52387"/>
          <a:ext cx="3157642" cy="476250"/>
        </a:xfrm>
        <a:prstGeom prst="rect">
          <a:avLst/>
        </a:prstGeom>
      </xdr:spPr>
    </xdr:pic>
    <xdr:clientData/>
  </xdr:twoCellAnchor>
  <xdr:twoCellAnchor>
    <xdr:from>
      <xdr:col>9</xdr:col>
      <xdr:colOff>381000</xdr:colOff>
      <xdr:row>0</xdr:row>
      <xdr:rowOff>33337</xdr:rowOff>
    </xdr:from>
    <xdr:to>
      <xdr:col>27</xdr:col>
      <xdr:colOff>19</xdr:colOff>
      <xdr:row>1</xdr:row>
      <xdr:rowOff>126999</xdr:rowOff>
    </xdr:to>
    <xdr:sp macro="" textlink="">
      <xdr:nvSpPr>
        <xdr:cNvPr id="5" name="Text Box 2">
          <a:extLst>
            <a:ext uri="{FF2B5EF4-FFF2-40B4-BE49-F238E27FC236}">
              <a16:creationId xmlns:a16="http://schemas.microsoft.com/office/drawing/2014/main" id="{00000000-0008-0000-0300-000005000000}"/>
            </a:ext>
          </a:extLst>
        </xdr:cNvPr>
        <xdr:cNvSpPr txBox="1">
          <a:spLocks noChangeArrowheads="1"/>
        </xdr:cNvSpPr>
      </xdr:nvSpPr>
      <xdr:spPr bwMode="auto">
        <a:xfrm>
          <a:off x="4891088" y="33337"/>
          <a:ext cx="3543319" cy="650875"/>
        </a:xfrm>
        <a:prstGeom prst="rect">
          <a:avLst/>
        </a:prstGeom>
        <a:noFill/>
        <a:ln>
          <a:noFill/>
        </a:ln>
        <a:extLst>
          <a:ext uri="{909E8E84-426E-40dd-AFC4-6F175D3DCCD1}">
            <a14:hiddenFill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cx="http://schemas.microsoft.com/office/drawing/2014/chartex" xmlns:cx1="http://schemas.microsoft.com/office/drawing/2015/9/8/chartex" xmlns:w16se="http://schemas.microsoft.com/office/word/2015/wordml/symex" xmlns:a14="http://schemas.microsoft.com/office/drawing/2010/main" xmlns:w="http://schemas.openxmlformats.org/wordprocessingml/2006/main" xmlns:w10="urn:schemas-microsoft-com:office:word" xmlns:v="urn:schemas-microsoft-com:vml" xmlns:o="urn:schemas-microsoft-com:office:office" xmlns:mv="urn:schemas-microsoft-com:mac:vml" xmlns:mo="http://schemas.microsoft.com/office/mac/office/2008/main" xmlns="" xmlns:lc="http://schemas.openxmlformats.org/drawingml/2006/lockedCanvas">
              <a:solidFill>
                <a:srgbClr val="FFFFFF"/>
              </a:solidFill>
            </a14:hiddenFill>
          </a:ext>
          <a:ext uri="{91240B29-F687-4f45-9708-019B960494DF}">
            <a14:hiddenLine xmlns:wpc="http://schemas.microsoft.com/office/word/2010/wordprocessingCanvas" xmlns:mc="http://schemas.openxmlformats.org/markup-compatibility/2006" xmlns:r="http://schemas.openxmlformats.org/officeDocument/2006/relationships" xmlns:m="http://schemas.openxmlformats.org/officeDocument/2006/math" xmlns:wp14="http://schemas.microsoft.com/office/word/2010/wordprocessingDrawing" xmlns:wp="http://schemas.openxmlformats.org/drawingml/2006/wordprocessingDrawing" xmlns:w14="http://schemas.microsoft.com/office/word/2010/wordml" xmlns:w15="http://schemas.microsoft.com/office/word/2012/wordml" xmlns:wpg="http://schemas.microsoft.com/office/word/2010/wordprocessingGroup" xmlns:wpi="http://schemas.microsoft.com/office/word/2010/wordprocessingInk" xmlns:wne="http://schemas.microsoft.com/office/word/2006/wordml" xmlns:wps="http://schemas.microsoft.com/office/word/2010/wordprocessingShape" xmlns:cx="http://schemas.microsoft.com/office/drawing/2014/chartex" xmlns:cx1="http://schemas.microsoft.com/office/drawing/2015/9/8/chartex" xmlns:w16se="http://schemas.microsoft.com/office/word/2015/wordml/symex" xmlns:a14="http://schemas.microsoft.com/office/drawing/2010/main" xmlns:w="http://schemas.openxmlformats.org/wordprocessingml/2006/main" xmlns:w10="urn:schemas-microsoft-com:office:word" xmlns:v="urn:schemas-microsoft-com:vml" xmlns:o="urn:schemas-microsoft-com:office:office" xmlns:mv="urn:schemas-microsoft-com:mac:vml" xmlns:mo="http://schemas.microsoft.com/office/mac/office/2008/main" xmlns="" xmlns:lc="http://schemas.openxmlformats.org/drawingml/2006/lockedCanvas" w="9525">
              <a:solidFill>
                <a:srgbClr val="000000"/>
              </a:solidFill>
              <a:miter lim="800000"/>
              <a:headEnd/>
              <a:tailEnd/>
            </a14:hiddenLine>
          </a:ext>
        </a:extLst>
      </xdr:spPr>
      <xdr:txBody>
        <a:bodyPr rot="0" vert="horz" wrap="square" lIns="91440" tIns="91440" rIns="91440" bIns="91440" anchor="t" anchorCtr="0" upright="1">
          <a:noAutofit/>
        </a:bodyPr>
        <a:lstStyle/>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3100 Marine Street	t	303 492 6221</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572 UCB	f	303 492 6421</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Boulder, Colorado 80309-0572	ocg@colorado.edu</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a:p>
          <a:pPr marL="0" marR="0">
            <a:spcBef>
              <a:spcPts val="0"/>
            </a:spcBef>
            <a:spcAft>
              <a:spcPts val="0"/>
            </a:spcAft>
            <a:tabLst>
              <a:tab pos="2286000" algn="l"/>
              <a:tab pos="2400300" algn="l"/>
            </a:tabLst>
          </a:pPr>
          <a:r>
            <a:rPr lang="en-US" sz="900">
              <a:effectLst/>
              <a:latin typeface="Arial" panose="020B0604020202020204" pitchFamily="34" charset="0"/>
              <a:ea typeface="Arial Unicode MS" panose="020B0604020202020204" pitchFamily="34" charset="-128"/>
              <a:cs typeface="Times New Roman" panose="02020603050405020304" pitchFamily="18" charset="0"/>
            </a:rPr>
            <a:t> </a:t>
          </a:r>
          <a:endParaRPr lang="en-US" sz="1200">
            <a:effectLst/>
            <a:latin typeface="Cambria" panose="02040503050406030204" pitchFamily="18" charset="0"/>
            <a:ea typeface="Times New Roman" panose="02020603050405020304" pitchFamily="18" charset="0"/>
            <a:cs typeface="Times New Roman" panose="02020603050405020304" pitchFamily="18" charset="0"/>
          </a:endParaRP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152400</xdr:colOff>
          <xdr:row>28</xdr:row>
          <xdr:rowOff>28575</xdr:rowOff>
        </xdr:from>
        <xdr:to>
          <xdr:col>0</xdr:col>
          <xdr:colOff>438150</xdr:colOff>
          <xdr:row>28</xdr:row>
          <xdr:rowOff>161925</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4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21</xdr:row>
          <xdr:rowOff>161925</xdr:rowOff>
        </xdr:from>
        <xdr:to>
          <xdr:col>0</xdr:col>
          <xdr:colOff>419100</xdr:colOff>
          <xdr:row>23</xdr:row>
          <xdr:rowOff>38100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4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22</xdr:row>
          <xdr:rowOff>161925</xdr:rowOff>
        </xdr:from>
        <xdr:to>
          <xdr:col>0</xdr:col>
          <xdr:colOff>419100</xdr:colOff>
          <xdr:row>24</xdr:row>
          <xdr:rowOff>47625</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4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23</xdr:row>
          <xdr:rowOff>180975</xdr:rowOff>
        </xdr:from>
        <xdr:to>
          <xdr:col>0</xdr:col>
          <xdr:colOff>419100</xdr:colOff>
          <xdr:row>25</xdr:row>
          <xdr:rowOff>47625</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4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30</xdr:row>
          <xdr:rowOff>28575</xdr:rowOff>
        </xdr:from>
        <xdr:to>
          <xdr:col>0</xdr:col>
          <xdr:colOff>438150</xdr:colOff>
          <xdr:row>30</xdr:row>
          <xdr:rowOff>161925</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4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32</xdr:row>
          <xdr:rowOff>28575</xdr:rowOff>
        </xdr:from>
        <xdr:to>
          <xdr:col>0</xdr:col>
          <xdr:colOff>438150</xdr:colOff>
          <xdr:row>32</xdr:row>
          <xdr:rowOff>180975</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4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34</xdr:row>
          <xdr:rowOff>28575</xdr:rowOff>
        </xdr:from>
        <xdr:to>
          <xdr:col>0</xdr:col>
          <xdr:colOff>438150</xdr:colOff>
          <xdr:row>34</xdr:row>
          <xdr:rowOff>180975</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4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36</xdr:row>
          <xdr:rowOff>28575</xdr:rowOff>
        </xdr:from>
        <xdr:to>
          <xdr:col>0</xdr:col>
          <xdr:colOff>438150</xdr:colOff>
          <xdr:row>36</xdr:row>
          <xdr:rowOff>180975</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4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38</xdr:row>
          <xdr:rowOff>19050</xdr:rowOff>
        </xdr:from>
        <xdr:to>
          <xdr:col>0</xdr:col>
          <xdr:colOff>438150</xdr:colOff>
          <xdr:row>38</xdr:row>
          <xdr:rowOff>171450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4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104775</xdr:colOff>
          <xdr:row>24</xdr:row>
          <xdr:rowOff>161925</xdr:rowOff>
        </xdr:from>
        <xdr:to>
          <xdr:col>0</xdr:col>
          <xdr:colOff>419100</xdr:colOff>
          <xdr:row>26</xdr:row>
          <xdr:rowOff>38100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4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40</xdr:row>
          <xdr:rowOff>19050</xdr:rowOff>
        </xdr:from>
        <xdr:to>
          <xdr:col>0</xdr:col>
          <xdr:colOff>438150</xdr:colOff>
          <xdr:row>40</xdr:row>
          <xdr:rowOff>171450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4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342900</xdr:colOff>
          <xdr:row>16</xdr:row>
          <xdr:rowOff>28575</xdr:rowOff>
        </xdr:from>
        <xdr:to>
          <xdr:col>0</xdr:col>
          <xdr:colOff>657225</xdr:colOff>
          <xdr:row>18</xdr:row>
          <xdr:rowOff>47625</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4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1162050</xdr:colOff>
          <xdr:row>16</xdr:row>
          <xdr:rowOff>28575</xdr:rowOff>
        </xdr:from>
        <xdr:to>
          <xdr:col>0</xdr:col>
          <xdr:colOff>1466850</xdr:colOff>
          <xdr:row>18</xdr:row>
          <xdr:rowOff>38100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4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177800</xdr:colOff>
      <xdr:row>0</xdr:row>
      <xdr:rowOff>76200</xdr:rowOff>
    </xdr:from>
    <xdr:to>
      <xdr:col>3</xdr:col>
      <xdr:colOff>479106</xdr:colOff>
      <xdr:row>0</xdr:row>
      <xdr:rowOff>552450</xdr:rowOff>
    </xdr:to>
    <xdr:pic>
      <xdr:nvPicPr>
        <xdr:cNvPr id="17" name="Picture 16">
          <a:extLst>
            <a:ext uri="{FF2B5EF4-FFF2-40B4-BE49-F238E27FC236}">
              <a16:creationId xmlns:a16="http://schemas.microsoft.com/office/drawing/2014/main" id="{00000000-0008-0000-0400-000011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77800" y="76200"/>
          <a:ext cx="3161981" cy="47625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9525</xdr:colOff>
          <xdr:row>9</xdr:row>
          <xdr:rowOff>9525</xdr:rowOff>
        </xdr:from>
        <xdr:to>
          <xdr:col>1</xdr:col>
          <xdr:colOff>104775</xdr:colOff>
          <xdr:row>9</xdr:row>
          <xdr:rowOff>152400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5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57978</xdr:colOff>
      <xdr:row>0</xdr:row>
      <xdr:rowOff>97318</xdr:rowOff>
    </xdr:from>
    <xdr:ext cx="2270110" cy="340831"/>
    <xdr:pic>
      <xdr:nvPicPr>
        <xdr:cNvPr id="2" name="Picture 1">
          <a:extLst>
            <a:ext uri="{FF2B5EF4-FFF2-40B4-BE49-F238E27FC236}">
              <a16:creationId xmlns:a16="http://schemas.microsoft.com/office/drawing/2014/main" id="{00000000-0008-0000-05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78" y="97318"/>
          <a:ext cx="2270110" cy="34083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447675</xdr:colOff>
          <xdr:row>1</xdr:row>
          <xdr:rowOff>66675</xdr:rowOff>
        </xdr:from>
        <xdr:to>
          <xdr:col>13</xdr:col>
          <xdr:colOff>190500</xdr:colOff>
          <xdr:row>1</xdr:row>
          <xdr:rowOff>200025</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5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xdr:row>
          <xdr:rowOff>66675</xdr:rowOff>
        </xdr:from>
        <xdr:to>
          <xdr:col>15</xdr:col>
          <xdr:colOff>447675</xdr:colOff>
          <xdr:row>1</xdr:row>
          <xdr:rowOff>200025</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5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9525</xdr:colOff>
          <xdr:row>9</xdr:row>
          <xdr:rowOff>9525</xdr:rowOff>
        </xdr:from>
        <xdr:to>
          <xdr:col>1</xdr:col>
          <xdr:colOff>104775</xdr:colOff>
          <xdr:row>9</xdr:row>
          <xdr:rowOff>152400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5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0</xdr:col>
      <xdr:colOff>57978</xdr:colOff>
      <xdr:row>0</xdr:row>
      <xdr:rowOff>97318</xdr:rowOff>
    </xdr:from>
    <xdr:ext cx="2376790" cy="340831"/>
    <xdr:pic>
      <xdr:nvPicPr>
        <xdr:cNvPr id="3" name="Picture 2">
          <a:extLst>
            <a:ext uri="{FF2B5EF4-FFF2-40B4-BE49-F238E27FC236}">
              <a16:creationId xmlns:a16="http://schemas.microsoft.com/office/drawing/2014/main" id="{00000000-0008-0000-05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978" y="97318"/>
          <a:ext cx="2376790" cy="340831"/>
        </a:xfrm>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12</xdr:col>
          <xdr:colOff>447675</xdr:colOff>
          <xdr:row>1</xdr:row>
          <xdr:rowOff>66675</xdr:rowOff>
        </xdr:from>
        <xdr:to>
          <xdr:col>13</xdr:col>
          <xdr:colOff>219075</xdr:colOff>
          <xdr:row>1</xdr:row>
          <xdr:rowOff>200025</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5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152400</xdr:colOff>
          <xdr:row>1</xdr:row>
          <xdr:rowOff>66675</xdr:rowOff>
        </xdr:from>
        <xdr:to>
          <xdr:col>15</xdr:col>
          <xdr:colOff>447675</xdr:colOff>
          <xdr:row>1</xdr:row>
          <xdr:rowOff>200025</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5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0</xdr:col>
      <xdr:colOff>57150</xdr:colOff>
      <xdr:row>0</xdr:row>
      <xdr:rowOff>57150</xdr:rowOff>
    </xdr:from>
    <xdr:to>
      <xdr:col>2</xdr:col>
      <xdr:colOff>291008</xdr:colOff>
      <xdr:row>0</xdr:row>
      <xdr:rowOff>397981</xdr:rowOff>
    </xdr:to>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7150" y="57150"/>
          <a:ext cx="2272208" cy="340831"/>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47625</xdr:colOff>
      <xdr:row>0</xdr:row>
      <xdr:rowOff>57150</xdr:rowOff>
    </xdr:from>
    <xdr:to>
      <xdr:col>2</xdr:col>
      <xdr:colOff>100508</xdr:colOff>
      <xdr:row>0</xdr:row>
      <xdr:rowOff>397981</xdr:rowOff>
    </xdr:to>
    <xdr:pic>
      <xdr:nvPicPr>
        <xdr:cNvPr id="2" name="Picture 1">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7625" y="57150"/>
          <a:ext cx="2272208" cy="340831"/>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100011</xdr:colOff>
      <xdr:row>0</xdr:row>
      <xdr:rowOff>52387</xdr:rowOff>
    </xdr:from>
    <xdr:to>
      <xdr:col>5</xdr:col>
      <xdr:colOff>561125</xdr:colOff>
      <xdr:row>0</xdr:row>
      <xdr:rowOff>528637</xdr:rowOff>
    </xdr:to>
    <xdr:pic>
      <xdr:nvPicPr>
        <xdr:cNvPr id="2" name="Picture 1">
          <a:extLst>
            <a:ext uri="{FF2B5EF4-FFF2-40B4-BE49-F238E27FC236}">
              <a16:creationId xmlns:a16="http://schemas.microsoft.com/office/drawing/2014/main" id="{F6495D97-F656-4C30-A5AB-84A19E2ABF1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00011" y="52387"/>
          <a:ext cx="3166214" cy="4762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alha6415\AppData\Local\Microsoft\Windows\INetCache\Content.Outlook\CO1RP0XM\ocg-140_cu_cost_share_form(1)_113023_meeting%20edits.xlsx" TargetMode="External"/><Relationship Id="rId1" Type="http://schemas.openxmlformats.org/officeDocument/2006/relationships/externalLinkPath" Target="/Users/alha6415/AppData/Local/Microsoft/Windows/INetCache/Content.Outlook/CO1RP0XM/ocg-140_cu_cost_share_form(1)_113023_meeting%20edit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2-CS In-Kind"/>
      <sheetName val="3-CS External"/>
    </sheetNames>
    <sheetDataSet>
      <sheetData sheetId="0">
        <row r="20">
          <cell r="K20">
            <v>0</v>
          </cell>
        </row>
        <row r="32">
          <cell r="K32">
            <v>0</v>
          </cell>
        </row>
      </sheetData>
      <sheetData sheetId="1">
        <row r="19">
          <cell r="K19">
            <v>0</v>
          </cell>
        </row>
        <row r="31">
          <cell r="K31">
            <v>0</v>
          </cell>
        </row>
      </sheetData>
    </sheetDataSet>
  </externalBook>
</externalLink>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3.xml"/><Relationship Id="rId16" Type="http://schemas.openxmlformats.org/officeDocument/2006/relationships/ctrlProp" Target="../ctrlProps/ctrlProp13.xml"/><Relationship Id="rId1" Type="http://schemas.openxmlformats.org/officeDocument/2006/relationships/printerSettings" Target="../printerSettings/printerSettings7.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8" Type="http://schemas.openxmlformats.org/officeDocument/2006/relationships/ctrlProp" Target="../ctrlProps/ctrlProp17.xml"/><Relationship Id="rId3" Type="http://schemas.openxmlformats.org/officeDocument/2006/relationships/drawing" Target="../drawings/drawing4.xml"/><Relationship Id="rId7" Type="http://schemas.openxmlformats.org/officeDocument/2006/relationships/ctrlProp" Target="../ctrlProps/ctrlProp16.xml"/><Relationship Id="rId2" Type="http://schemas.openxmlformats.org/officeDocument/2006/relationships/printerSettings" Target="../printerSettings/printerSettings8.bin"/><Relationship Id="rId1" Type="http://schemas.openxmlformats.org/officeDocument/2006/relationships/hyperlink" Target="https://www.colorado.edu/controller/policies/cost-sharing-policy" TargetMode="External"/><Relationship Id="rId6" Type="http://schemas.openxmlformats.org/officeDocument/2006/relationships/ctrlProp" Target="../ctrlProps/ctrlProp15.xml"/><Relationship Id="rId5" Type="http://schemas.openxmlformats.org/officeDocument/2006/relationships/ctrlProp" Target="../ctrlProps/ctrlProp14.xml"/><Relationship Id="rId10" Type="http://schemas.openxmlformats.org/officeDocument/2006/relationships/ctrlProp" Target="../ctrlProps/ctrlProp19.xml"/><Relationship Id="rId4" Type="http://schemas.openxmlformats.org/officeDocument/2006/relationships/vmlDrawing" Target="../drawings/vmlDrawing2.vml"/><Relationship Id="rId9" Type="http://schemas.openxmlformats.org/officeDocument/2006/relationships/ctrlProp" Target="../ctrlProps/ctrlProp18.xm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colorado.edu/controller/sites/default/files/attached-files/in-kind-fulfillment-cert_cost_share.pdf" TargetMode="External"/><Relationship Id="rId1" Type="http://schemas.openxmlformats.org/officeDocument/2006/relationships/hyperlink" Target="http://www.gpo.gov/fdsys/pkg/FR-2013-12-26/pdf/2013-30465.pdf" TargetMode="External"/><Relationship Id="rId4" Type="http://schemas.openxmlformats.org/officeDocument/2006/relationships/drawing" Target="../drawings/drawing5.xml"/></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A1:DB234"/>
  <sheetViews>
    <sheetView tabSelected="1" topLeftCell="A42" zoomScale="80" zoomScaleNormal="80" workbookViewId="0">
      <selection activeCell="E57" sqref="E57"/>
    </sheetView>
  </sheetViews>
  <sheetFormatPr defaultColWidth="11" defaultRowHeight="15.75" outlineLevelRow="1" outlineLevelCol="2" x14ac:dyDescent="0.25"/>
  <cols>
    <col min="1" max="1" width="25.125" style="73" customWidth="1"/>
    <col min="2" max="2" width="2.75" style="73" customWidth="1"/>
    <col min="3" max="3" width="2.5" style="73" customWidth="1"/>
    <col min="4" max="4" width="34.25" style="73" bestFit="1" customWidth="1"/>
    <col min="5" max="5" width="23.75" style="73" customWidth="1"/>
    <col min="6" max="6" width="17.25" style="40" bestFit="1" customWidth="1"/>
    <col min="7" max="7" width="9.5" style="40" customWidth="1"/>
    <col min="8" max="8" width="10.125" style="74" customWidth="1"/>
    <col min="9" max="9" width="1.75" style="74" customWidth="1"/>
    <col min="10" max="10" width="11" style="74" customWidth="1"/>
    <col min="11" max="11" width="1.75" style="74" customWidth="1"/>
    <col min="12" max="12" width="11" style="74" customWidth="1"/>
    <col min="13" max="13" width="1.75" style="13" customWidth="1"/>
    <col min="14" max="14" width="11" style="13" customWidth="1"/>
    <col min="15" max="15" width="1.75" style="13" customWidth="1"/>
    <col min="16" max="16" width="11" style="13" customWidth="1"/>
    <col min="17" max="17" width="1.75" style="13" customWidth="1"/>
    <col min="18" max="18" width="11" style="13" customWidth="1"/>
    <col min="19" max="19" width="1.75" style="13" hidden="1" customWidth="1" outlineLevel="1"/>
    <col min="20" max="20" width="11" style="74" hidden="1" customWidth="1" outlineLevel="1"/>
    <col min="21" max="21" width="1.75" style="74" hidden="1" customWidth="1" outlineLevel="1"/>
    <col min="22" max="22" width="11" style="74" hidden="1" customWidth="1" outlineLevel="1"/>
    <col min="23" max="23" width="1.75" style="13" hidden="1" customWidth="1" outlineLevel="1"/>
    <col min="24" max="24" width="11" style="13" hidden="1" customWidth="1" outlineLevel="1"/>
    <col min="25" max="25" width="1.75" style="13" hidden="1" customWidth="1" outlineLevel="1"/>
    <col min="26" max="26" width="11" style="13" hidden="1" customWidth="1" outlineLevel="1"/>
    <col min="27" max="27" width="1.75" style="13" hidden="1" customWidth="1" outlineLevel="1"/>
    <col min="28" max="28" width="11" style="13" hidden="1" customWidth="1" outlineLevel="1"/>
    <col min="29" max="29" width="2.125" style="13" customWidth="1" collapsed="1"/>
    <col min="30" max="30" width="11" style="2" customWidth="1"/>
    <col min="31" max="31" width="2.125" style="2" customWidth="1"/>
    <col min="32" max="32" width="11" style="321" hidden="1" customWidth="1" outlineLevel="1"/>
    <col min="33" max="33" width="1.75" style="74" hidden="1" customWidth="1" outlineLevel="1"/>
    <col min="34" max="34" width="11" style="321" hidden="1" customWidth="1" outlineLevel="1"/>
    <col min="35" max="35" width="1.75" style="13" hidden="1" customWidth="1" outlineLevel="1"/>
    <col min="36" max="36" width="11" style="322" hidden="1" customWidth="1" outlineLevel="1"/>
    <col min="37" max="37" width="1.75" style="13" hidden="1" customWidth="1" outlineLevel="1"/>
    <col min="38" max="38" width="11" style="322" hidden="1" customWidth="1" outlineLevel="1"/>
    <col min="39" max="39" width="1.75" style="13" hidden="1" customWidth="1" outlineLevel="1"/>
    <col min="40" max="40" width="11" style="322" hidden="1" customWidth="1" outlineLevel="1"/>
    <col min="41" max="41" width="1.75" style="13" hidden="1" customWidth="1" outlineLevel="2"/>
    <col min="42" max="42" width="11" style="321" hidden="1" customWidth="1" outlineLevel="2"/>
    <col min="43" max="43" width="1.75" style="74" hidden="1" customWidth="1" outlineLevel="2"/>
    <col min="44" max="44" width="11" style="321" hidden="1" customWidth="1" outlineLevel="2"/>
    <col min="45" max="45" width="1.75" style="13" hidden="1" customWidth="1" outlineLevel="2"/>
    <col min="46" max="46" width="11" style="322" hidden="1" customWidth="1" outlineLevel="2"/>
    <col min="47" max="47" width="1.75" style="13" hidden="1" customWidth="1" outlineLevel="2"/>
    <col min="48" max="48" width="11" style="322" hidden="1" customWidth="1" outlineLevel="2"/>
    <col min="49" max="49" width="1.75" style="13" hidden="1" customWidth="1" outlineLevel="2"/>
    <col min="50" max="50" width="11" style="322" hidden="1" customWidth="1" outlineLevel="2"/>
    <col min="51" max="51" width="2.125" style="13" hidden="1" customWidth="1" outlineLevel="1" collapsed="1"/>
    <col min="52" max="52" width="11" style="334" hidden="1" customWidth="1" outlineLevel="1"/>
    <col min="53" max="53" width="11.125" style="13" customWidth="1" collapsed="1"/>
    <col min="54" max="54" width="3.25" style="13" customWidth="1"/>
    <col min="55" max="55" width="16.25" style="68" customWidth="1"/>
    <col min="56" max="56" width="9.25" style="56" customWidth="1"/>
    <col min="57" max="57" width="9.875" style="17" customWidth="1"/>
    <col min="58" max="58" width="8.375" style="13" customWidth="1"/>
    <col min="59" max="59" width="6.75" style="13" customWidth="1"/>
    <col min="60" max="60" width="6.75" style="83" customWidth="1"/>
    <col min="61" max="61" width="1.875" style="13" customWidth="1"/>
    <col min="62" max="62" width="7.625" style="13" bestFit="1" customWidth="1"/>
    <col min="63" max="63" width="6.75" style="13" customWidth="1"/>
    <col min="64" max="64" width="6.75" style="83" customWidth="1"/>
    <col min="65" max="65" width="1.875" style="13" customWidth="1"/>
    <col min="66" max="66" width="7.625" style="13" bestFit="1" customWidth="1"/>
    <col min="67" max="67" width="6.75" style="13" customWidth="1"/>
    <col min="68" max="68" width="6.75" style="83" customWidth="1"/>
    <col min="69" max="69" width="1.625" style="13" customWidth="1"/>
    <col min="70" max="70" width="7.625" style="13" bestFit="1" customWidth="1"/>
    <col min="71" max="71" width="6.25" style="13" customWidth="1"/>
    <col min="72" max="72" width="6.25" style="83" customWidth="1"/>
    <col min="73" max="73" width="1.875" style="13" customWidth="1"/>
    <col min="74" max="74" width="7.625" style="13" bestFit="1" customWidth="1"/>
    <col min="75" max="75" width="6.25" style="13" customWidth="1"/>
    <col min="76" max="76" width="6.25" style="83" customWidth="1"/>
    <col min="77" max="77" width="1.75" style="56" hidden="1" customWidth="1" outlineLevel="1"/>
    <col min="78" max="78" width="8.375" style="13" hidden="1" customWidth="1" outlineLevel="1"/>
    <col min="79" max="79" width="6.75" style="13" hidden="1" customWidth="1" outlineLevel="1"/>
    <col min="80" max="80" width="6.75" style="83" hidden="1" customWidth="1" outlineLevel="1"/>
    <col min="81" max="81" width="1.875" style="13" hidden="1" customWidth="1" outlineLevel="1"/>
    <col min="82" max="82" width="7.625" style="13" hidden="1" customWidth="1" outlineLevel="1"/>
    <col min="83" max="83" width="6.75" style="13" hidden="1" customWidth="1" outlineLevel="1"/>
    <col min="84" max="84" width="6.75" style="83" hidden="1" customWidth="1" outlineLevel="1"/>
    <col min="85" max="85" width="1.875" style="13" hidden="1" customWidth="1" outlineLevel="1"/>
    <col min="86" max="86" width="7.625" style="13" hidden="1" customWidth="1" outlineLevel="1"/>
    <col min="87" max="87" width="6.75" style="13" hidden="1" customWidth="1" outlineLevel="1"/>
    <col min="88" max="88" width="6.75" style="83" hidden="1" customWidth="1" outlineLevel="1"/>
    <col min="89" max="89" width="1.625" style="13" hidden="1" customWidth="1" outlineLevel="1"/>
    <col min="90" max="90" width="7.625" style="13" hidden="1" customWidth="1" outlineLevel="1"/>
    <col min="91" max="91" width="6.25" style="13" hidden="1" customWidth="1" outlineLevel="1"/>
    <col min="92" max="92" width="6.25" style="83" hidden="1" customWidth="1" outlineLevel="1"/>
    <col min="93" max="93" width="1.875" style="13" hidden="1" customWidth="1" outlineLevel="1"/>
    <col min="94" max="94" width="7.625" style="13" hidden="1" customWidth="1" outlineLevel="1"/>
    <col min="95" max="95" width="6.25" style="13" hidden="1" customWidth="1" outlineLevel="1"/>
    <col min="96" max="96" width="6.25" style="83" hidden="1" customWidth="1" outlineLevel="1"/>
    <col min="97" max="97" width="11" style="13" collapsed="1"/>
    <col min="107" max="16384" width="11" style="13"/>
  </cols>
  <sheetData>
    <row r="1" spans="2:97" x14ac:dyDescent="0.25">
      <c r="B1" s="73" t="s">
        <v>268</v>
      </c>
      <c r="E1" s="414"/>
      <c r="F1" s="414"/>
      <c r="G1" s="414"/>
      <c r="H1" s="379" t="s">
        <v>480</v>
      </c>
      <c r="I1" s="408"/>
      <c r="J1" s="380"/>
      <c r="K1" s="380"/>
      <c r="L1" s="380"/>
      <c r="M1" s="381"/>
      <c r="N1" s="381"/>
      <c r="O1" s="381"/>
      <c r="P1" s="381"/>
      <c r="Q1" s="381"/>
      <c r="R1" s="381"/>
      <c r="S1" s="381"/>
      <c r="T1" s="380"/>
      <c r="U1" s="380"/>
      <c r="V1" s="380"/>
      <c r="W1" s="381"/>
      <c r="X1" s="381"/>
      <c r="Y1" s="381"/>
      <c r="Z1" s="381"/>
      <c r="AA1" s="381"/>
      <c r="AB1" s="381"/>
      <c r="AC1" s="381"/>
      <c r="AD1" s="382" t="s">
        <v>342</v>
      </c>
      <c r="AE1" s="382"/>
      <c r="AF1" s="380"/>
      <c r="AG1" s="380"/>
      <c r="AH1" s="380"/>
      <c r="AI1" s="381"/>
      <c r="AJ1" s="381"/>
      <c r="AK1" s="381"/>
      <c r="AL1" s="381"/>
      <c r="AM1" s="381"/>
      <c r="AN1" s="381"/>
      <c r="AO1" s="381"/>
      <c r="AP1" s="380"/>
      <c r="AQ1" s="380"/>
      <c r="AR1" s="380"/>
      <c r="AS1" s="381"/>
      <c r="AT1" s="381"/>
      <c r="AU1" s="381"/>
      <c r="AV1" s="381"/>
      <c r="AW1" s="381"/>
      <c r="AX1" s="381"/>
      <c r="AY1" s="381"/>
      <c r="AZ1" s="382"/>
      <c r="BA1" s="381"/>
      <c r="BB1" s="13" t="s">
        <v>352</v>
      </c>
      <c r="CS1" s="13" t="s">
        <v>342</v>
      </c>
    </row>
    <row r="2" spans="2:97" x14ac:dyDescent="0.25">
      <c r="B2" s="73" t="s">
        <v>87</v>
      </c>
      <c r="E2" s="414"/>
      <c r="F2" s="414"/>
      <c r="G2" s="414"/>
      <c r="H2" s="420" t="s">
        <v>488</v>
      </c>
      <c r="I2" s="420"/>
      <c r="J2" s="420"/>
      <c r="K2" s="420"/>
      <c r="L2" s="420"/>
      <c r="M2" s="420"/>
      <c r="N2" s="420"/>
      <c r="O2" s="420"/>
      <c r="P2" s="420"/>
      <c r="Q2" s="420"/>
      <c r="R2" s="420"/>
      <c r="S2" s="420"/>
      <c r="T2" s="420"/>
      <c r="U2" s="420"/>
      <c r="V2" s="420"/>
      <c r="W2" s="420"/>
      <c r="X2" s="420"/>
      <c r="Y2" s="420"/>
      <c r="Z2" s="420"/>
      <c r="AA2" s="420"/>
      <c r="AB2" s="420"/>
      <c r="AC2" s="420"/>
      <c r="AD2" s="420"/>
      <c r="AE2" s="420"/>
      <c r="AF2" s="420"/>
      <c r="AG2" s="420"/>
      <c r="AH2" s="420"/>
      <c r="AI2" s="420"/>
      <c r="AJ2" s="420"/>
      <c r="AK2" s="420"/>
      <c r="AL2" s="420"/>
      <c r="AM2" s="420"/>
      <c r="AN2" s="420"/>
      <c r="AO2" s="420"/>
      <c r="AP2" s="420"/>
      <c r="AQ2" s="420"/>
      <c r="AR2" s="420"/>
      <c r="AS2" s="420"/>
      <c r="AT2" s="420"/>
      <c r="AU2" s="420"/>
      <c r="AV2" s="420"/>
      <c r="AW2" s="420"/>
      <c r="AX2" s="420"/>
      <c r="AY2" s="420"/>
      <c r="AZ2" s="420"/>
      <c r="BA2" s="420"/>
    </row>
    <row r="3" spans="2:97" x14ac:dyDescent="0.25">
      <c r="B3" s="73" t="s">
        <v>242</v>
      </c>
      <c r="E3" s="415"/>
      <c r="F3" s="415"/>
      <c r="G3" s="415"/>
      <c r="H3" s="418" t="s">
        <v>489</v>
      </c>
      <c r="I3" s="418"/>
      <c r="J3" s="418"/>
      <c r="K3" s="418"/>
      <c r="L3" s="418"/>
      <c r="M3" s="418"/>
      <c r="N3" s="418"/>
      <c r="O3" s="418"/>
      <c r="P3" s="418"/>
      <c r="Q3" s="418"/>
      <c r="R3" s="418"/>
      <c r="S3" s="418"/>
      <c r="T3" s="418"/>
      <c r="U3" s="418"/>
      <c r="V3" s="418"/>
      <c r="W3" s="418"/>
      <c r="X3" s="418"/>
      <c r="Y3" s="418"/>
      <c r="Z3" s="418"/>
      <c r="AA3" s="418"/>
      <c r="AB3" s="418"/>
      <c r="AC3" s="418"/>
      <c r="AD3" s="418"/>
      <c r="AE3" s="418"/>
      <c r="AF3" s="418"/>
      <c r="AG3" s="418"/>
      <c r="AH3" s="418"/>
      <c r="AI3" s="418"/>
      <c r="AJ3" s="418"/>
      <c r="AK3" s="418"/>
      <c r="AL3" s="418"/>
      <c r="AM3" s="418"/>
      <c r="AN3" s="418"/>
      <c r="AO3" s="418"/>
      <c r="AP3" s="418"/>
      <c r="AQ3" s="418"/>
      <c r="AR3" s="418"/>
      <c r="AS3" s="418"/>
      <c r="AT3" s="418"/>
      <c r="AU3" s="418"/>
      <c r="AV3" s="418"/>
      <c r="AW3" s="418"/>
      <c r="AX3" s="418"/>
      <c r="AY3" s="418"/>
      <c r="AZ3" s="418"/>
      <c r="BA3" s="418"/>
    </row>
    <row r="4" spans="2:97" x14ac:dyDescent="0.25">
      <c r="B4" s="73" t="s">
        <v>316</v>
      </c>
      <c r="E4" s="414"/>
      <c r="F4" s="414"/>
      <c r="G4" s="414"/>
      <c r="H4" s="418"/>
      <c r="I4" s="418"/>
      <c r="J4" s="418"/>
      <c r="K4" s="418"/>
      <c r="L4" s="418"/>
      <c r="M4" s="418"/>
      <c r="N4" s="418"/>
      <c r="O4" s="418"/>
      <c r="P4" s="418"/>
      <c r="Q4" s="418"/>
      <c r="R4" s="418"/>
      <c r="S4" s="418"/>
      <c r="T4" s="418"/>
      <c r="U4" s="418"/>
      <c r="V4" s="418"/>
      <c r="W4" s="418"/>
      <c r="X4" s="418"/>
      <c r="Y4" s="418"/>
      <c r="Z4" s="418"/>
      <c r="AA4" s="418"/>
      <c r="AB4" s="418"/>
      <c r="AC4" s="418"/>
      <c r="AD4" s="418"/>
      <c r="AE4" s="418"/>
      <c r="AF4" s="418"/>
      <c r="AG4" s="418"/>
      <c r="AH4" s="418"/>
      <c r="AI4" s="418"/>
      <c r="AJ4" s="418"/>
      <c r="AK4" s="418"/>
      <c r="AL4" s="418"/>
      <c r="AM4" s="418"/>
      <c r="AN4" s="418"/>
      <c r="AO4" s="418"/>
      <c r="AP4" s="418"/>
      <c r="AQ4" s="418"/>
      <c r="AR4" s="418"/>
      <c r="AS4" s="418"/>
      <c r="AT4" s="418"/>
      <c r="AU4" s="418"/>
      <c r="AV4" s="418"/>
      <c r="AW4" s="418"/>
      <c r="AX4" s="418"/>
      <c r="AY4" s="418"/>
      <c r="AZ4" s="418"/>
      <c r="BA4" s="418"/>
      <c r="BC4" s="395" t="s">
        <v>484</v>
      </c>
      <c r="BD4" s="396">
        <v>225700</v>
      </c>
    </row>
    <row r="5" spans="2:97" x14ac:dyDescent="0.25">
      <c r="B5" s="417" t="s">
        <v>241</v>
      </c>
      <c r="C5" s="417"/>
      <c r="D5" s="417"/>
      <c r="E5" s="417"/>
      <c r="F5" s="417"/>
      <c r="G5" s="417"/>
      <c r="H5" s="420" t="s">
        <v>485</v>
      </c>
      <c r="I5" s="420"/>
      <c r="J5" s="420"/>
      <c r="K5" s="420"/>
      <c r="L5" s="420"/>
      <c r="M5" s="420"/>
      <c r="N5" s="420"/>
      <c r="O5" s="420"/>
      <c r="P5" s="420"/>
      <c r="Q5" s="420"/>
      <c r="R5" s="420"/>
      <c r="S5" s="420"/>
      <c r="T5" s="420"/>
      <c r="U5" s="420"/>
      <c r="V5" s="420"/>
      <c r="W5" s="420"/>
      <c r="X5" s="420"/>
      <c r="Y5" s="420"/>
      <c r="Z5" s="420"/>
      <c r="AA5" s="420"/>
      <c r="AB5" s="420"/>
      <c r="AC5" s="420"/>
      <c r="AD5" s="420"/>
      <c r="AE5" s="420"/>
      <c r="AF5" s="420"/>
      <c r="AG5" s="420"/>
      <c r="AH5" s="420"/>
      <c r="AI5" s="420"/>
      <c r="AJ5" s="420"/>
      <c r="AK5" s="420"/>
      <c r="AL5" s="420"/>
      <c r="AM5" s="420"/>
      <c r="AN5" s="420"/>
      <c r="AO5" s="420"/>
      <c r="AP5" s="420"/>
      <c r="AQ5" s="420"/>
      <c r="AR5" s="420"/>
      <c r="AS5" s="420"/>
      <c r="AT5" s="420"/>
      <c r="AU5" s="420"/>
      <c r="AV5" s="420"/>
      <c r="AW5" s="420"/>
      <c r="AX5" s="420"/>
      <c r="AY5" s="420"/>
      <c r="AZ5" s="420"/>
      <c r="BA5" s="420"/>
    </row>
    <row r="6" spans="2:97" x14ac:dyDescent="0.25">
      <c r="F6" s="7"/>
      <c r="G6" s="7"/>
      <c r="H6" s="420" t="s">
        <v>486</v>
      </c>
      <c r="I6" s="420"/>
      <c r="J6" s="420"/>
      <c r="K6" s="420"/>
      <c r="L6" s="420"/>
      <c r="M6" s="420"/>
      <c r="N6" s="420"/>
      <c r="O6" s="420"/>
      <c r="P6" s="420"/>
      <c r="Q6" s="420"/>
      <c r="R6" s="420"/>
      <c r="S6" s="420"/>
      <c r="T6" s="420"/>
      <c r="U6" s="420"/>
      <c r="V6" s="420"/>
      <c r="W6" s="420"/>
      <c r="X6" s="420"/>
      <c r="Y6" s="420"/>
      <c r="Z6" s="420"/>
      <c r="AA6" s="420"/>
      <c r="AB6" s="420"/>
      <c r="AC6" s="420"/>
      <c r="AD6" s="420"/>
      <c r="AE6" s="420"/>
      <c r="AF6" s="420"/>
      <c r="AG6" s="420"/>
      <c r="AH6" s="420"/>
      <c r="AI6" s="420"/>
      <c r="AJ6" s="420"/>
      <c r="AK6" s="420"/>
      <c r="AL6" s="420"/>
      <c r="AM6" s="420"/>
      <c r="AN6" s="420"/>
      <c r="AO6" s="420"/>
      <c r="AP6" s="420"/>
      <c r="AQ6" s="420"/>
      <c r="AR6" s="420"/>
      <c r="AS6" s="420"/>
      <c r="AT6" s="420"/>
      <c r="AU6" s="420"/>
      <c r="AV6" s="420"/>
      <c r="AW6" s="420"/>
      <c r="AX6" s="420"/>
      <c r="AY6" s="420"/>
      <c r="AZ6" s="420"/>
      <c r="BA6" s="420"/>
      <c r="BC6" s="188" t="s">
        <v>54</v>
      </c>
      <c r="BD6" s="189" t="s">
        <v>387</v>
      </c>
    </row>
    <row r="7" spans="2:97" x14ac:dyDescent="0.25">
      <c r="H7" s="421" t="s">
        <v>487</v>
      </c>
      <c r="I7" s="421"/>
      <c r="J7" s="421"/>
      <c r="K7" s="421"/>
      <c r="L7" s="421"/>
      <c r="M7" s="421"/>
      <c r="N7" s="421"/>
      <c r="O7" s="421"/>
      <c r="P7" s="421"/>
      <c r="Q7" s="421"/>
      <c r="R7" s="421"/>
      <c r="S7" s="421"/>
      <c r="T7" s="421"/>
      <c r="U7" s="421"/>
      <c r="V7" s="421"/>
      <c r="W7" s="421"/>
      <c r="X7" s="421"/>
      <c r="Y7" s="421"/>
      <c r="Z7" s="421"/>
      <c r="AA7" s="421"/>
      <c r="AB7" s="421"/>
      <c r="AC7" s="421"/>
      <c r="AD7" s="421"/>
      <c r="AE7" s="421"/>
      <c r="AF7" s="421"/>
      <c r="AG7" s="421"/>
      <c r="AH7" s="421"/>
      <c r="AI7" s="421"/>
      <c r="AJ7" s="421"/>
      <c r="AK7" s="421"/>
      <c r="AL7" s="421"/>
      <c r="AM7" s="421"/>
      <c r="AN7" s="421"/>
      <c r="AO7" s="421"/>
      <c r="AP7" s="421"/>
      <c r="AQ7" s="421"/>
      <c r="AR7" s="421"/>
      <c r="AS7" s="421"/>
      <c r="AT7" s="421"/>
      <c r="AU7" s="421"/>
      <c r="AV7" s="421"/>
      <c r="AW7" s="421"/>
      <c r="AX7" s="421"/>
      <c r="AY7" s="421"/>
      <c r="AZ7" s="421"/>
      <c r="BA7" s="421"/>
      <c r="BC7" s="190" t="s">
        <v>58</v>
      </c>
      <c r="BD7" s="191">
        <v>3.2000000000000001E-2</v>
      </c>
    </row>
    <row r="8" spans="2:97" x14ac:dyDescent="0.25">
      <c r="H8" s="421"/>
      <c r="I8" s="421"/>
      <c r="J8" s="421"/>
      <c r="K8" s="421"/>
      <c r="L8" s="421"/>
      <c r="M8" s="421"/>
      <c r="N8" s="421"/>
      <c r="O8" s="421"/>
      <c r="P8" s="421"/>
      <c r="Q8" s="421"/>
      <c r="R8" s="421"/>
      <c r="S8" s="421"/>
      <c r="T8" s="421"/>
      <c r="U8" s="421"/>
      <c r="V8" s="421"/>
      <c r="W8" s="421"/>
      <c r="X8" s="421"/>
      <c r="Y8" s="421"/>
      <c r="Z8" s="421"/>
      <c r="AA8" s="421"/>
      <c r="AB8" s="421"/>
      <c r="AC8" s="421"/>
      <c r="AD8" s="421"/>
      <c r="AE8" s="421"/>
      <c r="AF8" s="421"/>
      <c r="AG8" s="421"/>
      <c r="AH8" s="421"/>
      <c r="AI8" s="421"/>
      <c r="AJ8" s="421"/>
      <c r="AK8" s="421"/>
      <c r="AL8" s="421"/>
      <c r="AM8" s="421"/>
      <c r="AN8" s="421"/>
      <c r="AO8" s="421"/>
      <c r="AP8" s="421"/>
      <c r="AQ8" s="421"/>
      <c r="AR8" s="421"/>
      <c r="AS8" s="421"/>
      <c r="AT8" s="421"/>
      <c r="AU8" s="421"/>
      <c r="AV8" s="421"/>
      <c r="AW8" s="421"/>
      <c r="AX8" s="421"/>
      <c r="AY8" s="421"/>
      <c r="AZ8" s="421"/>
      <c r="BA8" s="421"/>
      <c r="BC8" s="192" t="s">
        <v>6</v>
      </c>
      <c r="BD8" s="191">
        <f>IF(BD68="yes",2.6%,0%)</f>
        <v>2.5999999999999999E-2</v>
      </c>
    </row>
    <row r="9" spans="2:97" x14ac:dyDescent="0.25">
      <c r="B9" s="73" t="s">
        <v>20</v>
      </c>
      <c r="D9" s="416"/>
      <c r="E9" s="416"/>
      <c r="F9" s="416"/>
      <c r="G9" s="416"/>
      <c r="H9" s="418" t="s">
        <v>481</v>
      </c>
      <c r="I9" s="418"/>
      <c r="J9" s="418"/>
      <c r="K9" s="418"/>
      <c r="L9" s="418"/>
      <c r="M9" s="418"/>
      <c r="N9" s="418"/>
      <c r="O9" s="418"/>
      <c r="P9" s="418"/>
      <c r="Q9" s="418"/>
      <c r="R9" s="418"/>
      <c r="S9" s="418"/>
      <c r="T9" s="418"/>
      <c r="U9" s="418"/>
      <c r="V9" s="418"/>
      <c r="W9" s="418"/>
      <c r="X9" s="418"/>
      <c r="Y9" s="418"/>
      <c r="Z9" s="418"/>
      <c r="AA9" s="418"/>
      <c r="AB9" s="418"/>
      <c r="AC9" s="418"/>
      <c r="AD9" s="418"/>
      <c r="AE9" s="418"/>
      <c r="AF9" s="418"/>
      <c r="AG9" s="418"/>
      <c r="AH9" s="418"/>
      <c r="AI9" s="418"/>
      <c r="AJ9" s="418"/>
      <c r="AK9" s="418"/>
      <c r="AL9" s="418"/>
      <c r="AM9" s="418"/>
      <c r="AN9" s="418"/>
      <c r="AO9" s="418"/>
      <c r="AP9" s="418"/>
      <c r="AQ9" s="418"/>
      <c r="AR9" s="418"/>
      <c r="AS9" s="418"/>
      <c r="AT9" s="418"/>
      <c r="AU9" s="418"/>
      <c r="AV9" s="418"/>
      <c r="AW9" s="418"/>
      <c r="AX9" s="418"/>
      <c r="AY9" s="418"/>
      <c r="AZ9" s="418"/>
      <c r="BA9" s="418"/>
      <c r="BC9" s="192" t="s">
        <v>55</v>
      </c>
      <c r="BD9" s="191">
        <v>0.03</v>
      </c>
    </row>
    <row r="10" spans="2:97" x14ac:dyDescent="0.25">
      <c r="D10" s="416"/>
      <c r="E10" s="416"/>
      <c r="F10" s="416"/>
      <c r="G10" s="416"/>
      <c r="H10" s="418"/>
      <c r="I10" s="418"/>
      <c r="J10" s="418"/>
      <c r="K10" s="418"/>
      <c r="L10" s="418"/>
      <c r="M10" s="418"/>
      <c r="N10" s="418"/>
      <c r="O10" s="418"/>
      <c r="P10" s="418"/>
      <c r="Q10" s="418"/>
      <c r="R10" s="418"/>
      <c r="S10" s="418"/>
      <c r="T10" s="418"/>
      <c r="U10" s="418"/>
      <c r="V10" s="418"/>
      <c r="W10" s="418"/>
      <c r="X10" s="418"/>
      <c r="Y10" s="418"/>
      <c r="Z10" s="418"/>
      <c r="AA10" s="418"/>
      <c r="AB10" s="418"/>
      <c r="AC10" s="418"/>
      <c r="AD10" s="418"/>
      <c r="AE10" s="418"/>
      <c r="AF10" s="418"/>
      <c r="AG10" s="418"/>
      <c r="AH10" s="418"/>
      <c r="AI10" s="418"/>
      <c r="AJ10" s="418"/>
      <c r="AK10" s="418"/>
      <c r="AL10" s="418"/>
      <c r="AM10" s="418"/>
      <c r="AN10" s="418"/>
      <c r="AO10" s="418"/>
      <c r="AP10" s="418"/>
      <c r="AQ10" s="418"/>
      <c r="AR10" s="418"/>
      <c r="AS10" s="418"/>
      <c r="AT10" s="418"/>
      <c r="AU10" s="418"/>
      <c r="AV10" s="418"/>
      <c r="AW10" s="418"/>
      <c r="AX10" s="418"/>
      <c r="AY10" s="418"/>
      <c r="AZ10" s="418"/>
      <c r="BA10" s="418"/>
      <c r="BC10" s="192" t="s">
        <v>25</v>
      </c>
      <c r="BD10" s="341">
        <v>2.3E-2</v>
      </c>
    </row>
    <row r="11" spans="2:97" x14ac:dyDescent="0.25">
      <c r="H11" s="418"/>
      <c r="I11" s="418"/>
      <c r="J11" s="418"/>
      <c r="K11" s="418"/>
      <c r="L11" s="418"/>
      <c r="M11" s="418"/>
      <c r="N11" s="418"/>
      <c r="O11" s="418"/>
      <c r="P11" s="418"/>
      <c r="Q11" s="418"/>
      <c r="R11" s="418"/>
      <c r="S11" s="418"/>
      <c r="T11" s="418"/>
      <c r="U11" s="418"/>
      <c r="V11" s="418"/>
      <c r="W11" s="418"/>
      <c r="X11" s="418"/>
      <c r="Y11" s="418"/>
      <c r="Z11" s="418"/>
      <c r="AA11" s="418"/>
      <c r="AB11" s="418"/>
      <c r="AC11" s="418"/>
      <c r="AD11" s="418"/>
      <c r="AE11" s="418"/>
      <c r="AF11" s="418"/>
      <c r="AG11" s="418"/>
      <c r="AH11" s="418"/>
      <c r="AI11" s="418"/>
      <c r="AJ11" s="418"/>
      <c r="AK11" s="418"/>
      <c r="AL11" s="418"/>
      <c r="AM11" s="418"/>
      <c r="AN11" s="418"/>
      <c r="AO11" s="418"/>
      <c r="AP11" s="418"/>
      <c r="AQ11" s="418"/>
      <c r="AR11" s="418"/>
      <c r="AS11" s="418"/>
      <c r="AT11" s="418"/>
      <c r="AU11" s="418"/>
      <c r="AV11" s="418"/>
      <c r="AW11" s="418"/>
      <c r="AX11" s="418"/>
      <c r="AY11" s="418"/>
      <c r="AZ11" s="418"/>
      <c r="BA11" s="418"/>
      <c r="BC11" s="192" t="s">
        <v>359</v>
      </c>
      <c r="BD11" s="341">
        <v>0.03</v>
      </c>
    </row>
    <row r="12" spans="2:97" ht="15.75" customHeight="1" x14ac:dyDescent="0.25">
      <c r="B12" s="73" t="s">
        <v>50</v>
      </c>
      <c r="E12" s="86"/>
      <c r="F12" s="86"/>
      <c r="G12" s="86"/>
      <c r="H12" s="419" t="s">
        <v>490</v>
      </c>
      <c r="I12" s="419"/>
      <c r="J12" s="419"/>
      <c r="K12" s="419"/>
      <c r="L12" s="419"/>
      <c r="M12" s="419"/>
      <c r="N12" s="419"/>
      <c r="O12" s="419"/>
      <c r="P12" s="419"/>
      <c r="Q12" s="419"/>
      <c r="R12" s="419"/>
      <c r="S12" s="419"/>
      <c r="T12" s="419"/>
      <c r="U12" s="419"/>
      <c r="V12" s="419"/>
      <c r="W12" s="419"/>
      <c r="X12" s="419"/>
      <c r="Y12" s="419"/>
      <c r="Z12" s="419"/>
      <c r="AA12" s="419"/>
      <c r="AB12" s="419"/>
      <c r="AC12" s="419"/>
      <c r="AD12" s="419"/>
      <c r="AE12" s="419"/>
      <c r="AF12" s="419"/>
      <c r="AG12" s="419"/>
      <c r="AH12" s="419"/>
      <c r="AI12" s="419"/>
      <c r="AJ12" s="419"/>
      <c r="AK12" s="419"/>
      <c r="AL12" s="419"/>
      <c r="AM12" s="419"/>
      <c r="AN12" s="419"/>
      <c r="AO12" s="419"/>
      <c r="AP12" s="419"/>
      <c r="AQ12" s="419"/>
      <c r="AR12" s="419"/>
      <c r="AS12" s="419"/>
      <c r="AT12" s="419"/>
      <c r="AU12" s="419"/>
      <c r="AV12" s="419"/>
      <c r="AW12" s="419"/>
      <c r="AX12" s="419"/>
      <c r="AY12" s="419"/>
      <c r="AZ12" s="419"/>
      <c r="BA12" s="419"/>
      <c r="BC12" s="193" t="s">
        <v>360</v>
      </c>
      <c r="BD12" s="194">
        <v>0.03</v>
      </c>
    </row>
    <row r="13" spans="2:97" x14ac:dyDescent="0.25">
      <c r="B13" s="73" t="s">
        <v>51</v>
      </c>
      <c r="E13" s="86"/>
      <c r="F13" s="86"/>
      <c r="G13" s="86"/>
      <c r="H13" s="419"/>
      <c r="I13" s="419"/>
      <c r="J13" s="419"/>
      <c r="K13" s="419"/>
      <c r="L13" s="419"/>
      <c r="M13" s="419"/>
      <c r="N13" s="419"/>
      <c r="O13" s="419"/>
      <c r="P13" s="419"/>
      <c r="Q13" s="419"/>
      <c r="R13" s="419"/>
      <c r="S13" s="419"/>
      <c r="T13" s="419"/>
      <c r="U13" s="419"/>
      <c r="V13" s="419"/>
      <c r="W13" s="419"/>
      <c r="X13" s="419"/>
      <c r="Y13" s="419"/>
      <c r="Z13" s="419"/>
      <c r="AA13" s="419"/>
      <c r="AB13" s="419"/>
      <c r="AC13" s="419"/>
      <c r="AD13" s="419"/>
      <c r="AE13" s="419"/>
      <c r="AF13" s="419"/>
      <c r="AG13" s="419"/>
      <c r="AH13" s="419"/>
      <c r="AI13" s="419"/>
      <c r="AJ13" s="419"/>
      <c r="AK13" s="419"/>
      <c r="AL13" s="419"/>
      <c r="AM13" s="419"/>
      <c r="AN13" s="419"/>
      <c r="AO13" s="419"/>
      <c r="AP13" s="419"/>
      <c r="AQ13" s="419"/>
      <c r="AR13" s="419"/>
      <c r="AS13" s="419"/>
      <c r="AT13" s="419"/>
      <c r="AU13" s="419"/>
      <c r="AV13" s="419"/>
      <c r="AW13" s="419"/>
      <c r="AX13" s="419"/>
      <c r="AY13" s="419"/>
      <c r="AZ13" s="419"/>
      <c r="BA13" s="419"/>
    </row>
    <row r="14" spans="2:97" x14ac:dyDescent="0.25">
      <c r="E14" s="32"/>
      <c r="F14" s="86"/>
      <c r="G14" s="86"/>
      <c r="H14" s="419"/>
      <c r="I14" s="419"/>
      <c r="J14" s="419"/>
      <c r="K14" s="419"/>
      <c r="L14" s="419"/>
      <c r="M14" s="419"/>
      <c r="N14" s="419"/>
      <c r="O14" s="419"/>
      <c r="P14" s="419"/>
      <c r="Q14" s="419"/>
      <c r="R14" s="419"/>
      <c r="S14" s="419"/>
      <c r="T14" s="419"/>
      <c r="U14" s="419"/>
      <c r="V14" s="419"/>
      <c r="W14" s="419"/>
      <c r="X14" s="419"/>
      <c r="Y14" s="419"/>
      <c r="Z14" s="419"/>
      <c r="AA14" s="419"/>
      <c r="AB14" s="419"/>
      <c r="AC14" s="419"/>
      <c r="AD14" s="419"/>
      <c r="AE14" s="419"/>
      <c r="AF14" s="419"/>
      <c r="AG14" s="419"/>
      <c r="AH14" s="419"/>
      <c r="AI14" s="419"/>
      <c r="AJ14" s="419"/>
      <c r="AK14" s="419"/>
      <c r="AL14" s="419"/>
      <c r="AM14" s="419"/>
      <c r="AN14" s="419"/>
      <c r="AO14" s="419"/>
      <c r="AP14" s="419"/>
      <c r="AQ14" s="419"/>
      <c r="AR14" s="419"/>
      <c r="AS14" s="419"/>
      <c r="AT14" s="419"/>
      <c r="AU14" s="419"/>
      <c r="AV14" s="419"/>
      <c r="AW14" s="419"/>
      <c r="AX14" s="419"/>
      <c r="AY14" s="419"/>
      <c r="AZ14" s="419"/>
      <c r="BA14" s="419"/>
    </row>
    <row r="15" spans="2:97" ht="15.95" customHeight="1" x14ac:dyDescent="0.25">
      <c r="E15" s="32"/>
      <c r="F15" s="85"/>
      <c r="G15" s="85"/>
      <c r="AF15" s="323" t="s">
        <v>351</v>
      </c>
      <c r="AH15" s="323" t="s">
        <v>351</v>
      </c>
      <c r="AJ15" s="323" t="s">
        <v>351</v>
      </c>
      <c r="AL15" s="323" t="s">
        <v>351</v>
      </c>
      <c r="AN15" s="323" t="s">
        <v>351</v>
      </c>
      <c r="AP15" s="323" t="s">
        <v>351</v>
      </c>
      <c r="AR15" s="323" t="s">
        <v>351</v>
      </c>
      <c r="AT15" s="323" t="s">
        <v>351</v>
      </c>
      <c r="AV15" s="323" t="s">
        <v>351</v>
      </c>
      <c r="AX15" s="323" t="s">
        <v>351</v>
      </c>
      <c r="AZ15" s="323" t="s">
        <v>351</v>
      </c>
      <c r="BC15" s="18" t="s">
        <v>209</v>
      </c>
      <c r="BD15" s="137">
        <v>5</v>
      </c>
    </row>
    <row r="16" spans="2:97" x14ac:dyDescent="0.25">
      <c r="E16" s="32"/>
      <c r="F16" s="85"/>
      <c r="G16" s="85"/>
      <c r="AF16" s="323" t="s">
        <v>351</v>
      </c>
      <c r="AH16" s="323" t="s">
        <v>351</v>
      </c>
      <c r="AJ16" s="323" t="s">
        <v>351</v>
      </c>
      <c r="AL16" s="323" t="s">
        <v>351</v>
      </c>
      <c r="AN16" s="323" t="s">
        <v>351</v>
      </c>
      <c r="AP16" s="323" t="s">
        <v>351</v>
      </c>
      <c r="AR16" s="323" t="s">
        <v>351</v>
      </c>
      <c r="AT16" s="323" t="s">
        <v>351</v>
      </c>
      <c r="AV16" s="323" t="s">
        <v>351</v>
      </c>
      <c r="AX16" s="323" t="s">
        <v>351</v>
      </c>
      <c r="AZ16" s="323" t="s">
        <v>351</v>
      </c>
      <c r="BC16" s="18" t="s">
        <v>478</v>
      </c>
      <c r="BD16" s="173" t="s">
        <v>252</v>
      </c>
    </row>
    <row r="17" spans="1:97" x14ac:dyDescent="0.25">
      <c r="AF17" s="323"/>
      <c r="AH17" s="323"/>
      <c r="AJ17" s="323"/>
      <c r="AL17" s="323"/>
      <c r="AN17" s="323"/>
      <c r="AP17" s="323"/>
      <c r="AR17" s="323"/>
      <c r="AT17" s="323"/>
      <c r="AV17" s="323"/>
      <c r="AX17" s="323"/>
      <c r="AZ17" s="323"/>
    </row>
    <row r="18" spans="1:97" x14ac:dyDescent="0.25">
      <c r="B18" s="73" t="s">
        <v>336</v>
      </c>
      <c r="E18" s="414"/>
      <c r="F18" s="414"/>
      <c r="G18" s="414"/>
      <c r="H18" s="26"/>
      <c r="J18" s="170" t="s">
        <v>0</v>
      </c>
      <c r="K18" s="170"/>
      <c r="L18" s="170" t="s">
        <v>1</v>
      </c>
      <c r="M18" s="16"/>
      <c r="N18" s="170" t="s">
        <v>22</v>
      </c>
      <c r="O18" s="17"/>
      <c r="P18" s="170" t="s">
        <v>31</v>
      </c>
      <c r="Q18" s="17"/>
      <c r="R18" s="170" t="s">
        <v>43</v>
      </c>
      <c r="S18" s="17"/>
      <c r="T18" s="170" t="s">
        <v>337</v>
      </c>
      <c r="U18" s="170"/>
      <c r="V18" s="170" t="s">
        <v>338</v>
      </c>
      <c r="W18" s="16"/>
      <c r="X18" s="170" t="s">
        <v>339</v>
      </c>
      <c r="Y18" s="17"/>
      <c r="Z18" s="170" t="s">
        <v>340</v>
      </c>
      <c r="AA18" s="17"/>
      <c r="AB18" s="170" t="s">
        <v>341</v>
      </c>
      <c r="AC18" s="170"/>
      <c r="AD18" s="28" t="s">
        <v>24</v>
      </c>
      <c r="AE18" s="28"/>
      <c r="AF18" s="323" t="s">
        <v>0</v>
      </c>
      <c r="AG18" s="170"/>
      <c r="AH18" s="323" t="s">
        <v>1</v>
      </c>
      <c r="AI18" s="16"/>
      <c r="AJ18" s="323" t="s">
        <v>22</v>
      </c>
      <c r="AK18" s="17"/>
      <c r="AL18" s="323" t="s">
        <v>31</v>
      </c>
      <c r="AM18" s="17"/>
      <c r="AN18" s="323" t="s">
        <v>43</v>
      </c>
      <c r="AO18" s="17"/>
      <c r="AP18" s="323" t="s">
        <v>337</v>
      </c>
      <c r="AQ18" s="170"/>
      <c r="AR18" s="323" t="s">
        <v>338</v>
      </c>
      <c r="AS18" s="16"/>
      <c r="AT18" s="323" t="s">
        <v>339</v>
      </c>
      <c r="AU18" s="17"/>
      <c r="AV18" s="323" t="s">
        <v>340</v>
      </c>
      <c r="AW18" s="17"/>
      <c r="AX18" s="323" t="s">
        <v>341</v>
      </c>
      <c r="AY18" s="170"/>
      <c r="AZ18" s="335" t="s">
        <v>24</v>
      </c>
      <c r="BC18" s="169" t="s">
        <v>243</v>
      </c>
    </row>
    <row r="19" spans="1:97" x14ac:dyDescent="0.25">
      <c r="H19" s="26"/>
      <c r="J19" s="170"/>
      <c r="K19" s="170"/>
      <c r="L19" s="170"/>
      <c r="M19" s="16"/>
      <c r="N19" s="170"/>
      <c r="O19" s="17"/>
      <c r="P19" s="170"/>
      <c r="Q19" s="17"/>
      <c r="R19" s="170"/>
      <c r="S19" s="17"/>
      <c r="T19" s="170"/>
      <c r="U19" s="170"/>
      <c r="V19" s="170"/>
      <c r="W19" s="16"/>
      <c r="X19" s="170"/>
      <c r="Y19" s="17"/>
      <c r="Z19" s="170"/>
      <c r="AA19" s="17"/>
      <c r="AB19" s="170"/>
      <c r="AC19" s="170"/>
      <c r="AD19" s="28"/>
      <c r="AE19" s="28"/>
      <c r="AF19" s="323"/>
      <c r="AG19" s="170"/>
      <c r="AH19" s="323"/>
      <c r="AI19" s="16"/>
      <c r="AJ19" s="323"/>
      <c r="AK19" s="17"/>
      <c r="AL19" s="323"/>
      <c r="AM19" s="17"/>
      <c r="AN19" s="323"/>
      <c r="AO19" s="17"/>
      <c r="AP19" s="323"/>
      <c r="AQ19" s="170"/>
      <c r="AR19" s="323"/>
      <c r="AS19" s="16"/>
      <c r="AT19" s="323"/>
      <c r="AU19" s="17"/>
      <c r="AV19" s="323"/>
      <c r="AW19" s="17"/>
      <c r="AX19" s="323"/>
      <c r="AY19" s="170"/>
      <c r="AZ19" s="335"/>
      <c r="BC19" s="169"/>
    </row>
    <row r="20" spans="1:97" x14ac:dyDescent="0.25">
      <c r="A20" s="10" t="s">
        <v>245</v>
      </c>
      <c r="B20" s="10" t="s">
        <v>2</v>
      </c>
      <c r="C20" s="10" t="s">
        <v>3</v>
      </c>
      <c r="I20" s="9"/>
      <c r="N20" s="74"/>
      <c r="P20" s="74"/>
      <c r="R20" s="74"/>
      <c r="X20" s="74"/>
      <c r="Z20" s="74"/>
      <c r="AB20" s="74"/>
      <c r="AC20" s="74"/>
      <c r="AJ20" s="321"/>
      <c r="AL20" s="321"/>
      <c r="AN20" s="321"/>
      <c r="AT20" s="321"/>
      <c r="AV20" s="321"/>
      <c r="AX20" s="321"/>
      <c r="AY20" s="74"/>
      <c r="BC20" s="54" t="s">
        <v>61</v>
      </c>
      <c r="BD20" s="57" t="s">
        <v>66</v>
      </c>
      <c r="BE20" s="54" t="s">
        <v>62</v>
      </c>
      <c r="BF20" s="172" t="s">
        <v>63</v>
      </c>
      <c r="BG20" s="172" t="s">
        <v>64</v>
      </c>
      <c r="BH20" s="84" t="s">
        <v>65</v>
      </c>
      <c r="BI20" s="172"/>
      <c r="BJ20" s="172" t="s">
        <v>63</v>
      </c>
      <c r="BK20" s="172" t="s">
        <v>64</v>
      </c>
      <c r="BL20" s="84" t="s">
        <v>65</v>
      </c>
      <c r="BM20" s="172"/>
      <c r="BN20" s="172" t="s">
        <v>63</v>
      </c>
      <c r="BO20" s="172" t="s">
        <v>64</v>
      </c>
      <c r="BP20" s="84" t="s">
        <v>65</v>
      </c>
      <c r="BQ20" s="172"/>
      <c r="BR20" s="172" t="s">
        <v>63</v>
      </c>
      <c r="BS20" s="172" t="s">
        <v>64</v>
      </c>
      <c r="BT20" s="84" t="s">
        <v>65</v>
      </c>
      <c r="BU20" s="17"/>
      <c r="BV20" s="172" t="s">
        <v>63</v>
      </c>
      <c r="BW20" s="172" t="s">
        <v>64</v>
      </c>
      <c r="BX20" s="84" t="s">
        <v>65</v>
      </c>
      <c r="BY20" s="57"/>
      <c r="BZ20" s="172" t="s">
        <v>63</v>
      </c>
      <c r="CA20" s="172" t="s">
        <v>64</v>
      </c>
      <c r="CB20" s="84" t="s">
        <v>65</v>
      </c>
      <c r="CC20" s="172"/>
      <c r="CD20" s="172" t="s">
        <v>63</v>
      </c>
      <c r="CE20" s="172" t="s">
        <v>64</v>
      </c>
      <c r="CF20" s="84" t="s">
        <v>65</v>
      </c>
      <c r="CG20" s="172"/>
      <c r="CH20" s="172" t="s">
        <v>63</v>
      </c>
      <c r="CI20" s="172" t="s">
        <v>64</v>
      </c>
      <c r="CJ20" s="84" t="s">
        <v>65</v>
      </c>
      <c r="CK20" s="172"/>
      <c r="CL20" s="172" t="s">
        <v>63</v>
      </c>
      <c r="CM20" s="172" t="s">
        <v>64</v>
      </c>
      <c r="CN20" s="84" t="s">
        <v>65</v>
      </c>
      <c r="CO20" s="17"/>
      <c r="CP20" s="172" t="s">
        <v>63</v>
      </c>
      <c r="CQ20" s="172" t="s">
        <v>64</v>
      </c>
      <c r="CR20" s="84" t="s">
        <v>65</v>
      </c>
      <c r="CS20" s="172" t="s">
        <v>79</v>
      </c>
    </row>
    <row r="21" spans="1:97" x14ac:dyDescent="0.25">
      <c r="A21" s="32"/>
      <c r="B21" s="10"/>
      <c r="C21" s="73" t="str">
        <f>"PI: "&amp;E12</f>
        <v xml:space="preserve">PI: </v>
      </c>
      <c r="H21" s="54"/>
      <c r="I21" s="9"/>
      <c r="M21" s="40"/>
      <c r="N21" s="40"/>
      <c r="O21" s="40"/>
      <c r="P21" s="40"/>
      <c r="Q21" s="40"/>
      <c r="R21" s="40"/>
      <c r="W21" s="40"/>
      <c r="X21" s="40"/>
      <c r="Y21" s="40"/>
      <c r="Z21" s="40"/>
      <c r="AA21" s="40"/>
      <c r="AB21" s="40"/>
      <c r="AC21" s="40"/>
      <c r="AI21" s="40"/>
      <c r="AJ21" s="85"/>
      <c r="AK21" s="40"/>
      <c r="AL21" s="85"/>
      <c r="AM21" s="40"/>
      <c r="AN21" s="85"/>
      <c r="AS21" s="40"/>
      <c r="AT21" s="85"/>
      <c r="AU21" s="40"/>
      <c r="AV21" s="85"/>
      <c r="AW21" s="40"/>
      <c r="AX21" s="85"/>
      <c r="AY21" s="40"/>
      <c r="BA21" s="383" t="s">
        <v>482</v>
      </c>
      <c r="BB21" s="385" t="s">
        <v>483</v>
      </c>
      <c r="BC21" s="385"/>
      <c r="BD21" s="386"/>
      <c r="BE21" s="387"/>
      <c r="BF21" s="413" t="s">
        <v>0</v>
      </c>
      <c r="BG21" s="413"/>
      <c r="BH21" s="413"/>
      <c r="BI21" s="172"/>
      <c r="BJ21" s="413" t="s">
        <v>1</v>
      </c>
      <c r="BK21" s="413"/>
      <c r="BL21" s="413"/>
      <c r="BM21" s="172"/>
      <c r="BN21" s="413" t="s">
        <v>22</v>
      </c>
      <c r="BO21" s="413"/>
      <c r="BP21" s="413"/>
      <c r="BQ21" s="172"/>
      <c r="BR21" s="413" t="s">
        <v>31</v>
      </c>
      <c r="BS21" s="413"/>
      <c r="BT21" s="413"/>
      <c r="BV21" s="413" t="s">
        <v>43</v>
      </c>
      <c r="BW21" s="413"/>
      <c r="BX21" s="413"/>
      <c r="BY21" s="172"/>
      <c r="BZ21" s="413" t="s">
        <v>337</v>
      </c>
      <c r="CA21" s="413"/>
      <c r="CB21" s="413"/>
      <c r="CC21" s="172"/>
      <c r="CD21" s="413" t="s">
        <v>338</v>
      </c>
      <c r="CE21" s="413"/>
      <c r="CF21" s="413"/>
      <c r="CG21" s="172"/>
      <c r="CH21" s="413" t="s">
        <v>339</v>
      </c>
      <c r="CI21" s="413"/>
      <c r="CJ21" s="413"/>
      <c r="CK21" s="172"/>
      <c r="CL21" s="413" t="s">
        <v>340</v>
      </c>
      <c r="CM21" s="413"/>
      <c r="CN21" s="413"/>
      <c r="CP21" s="413" t="s">
        <v>341</v>
      </c>
      <c r="CQ21" s="413"/>
      <c r="CR21" s="413"/>
      <c r="CS21" s="172" t="s">
        <v>24</v>
      </c>
    </row>
    <row r="22" spans="1:97" x14ac:dyDescent="0.25">
      <c r="A22" s="32" t="s">
        <v>235</v>
      </c>
      <c r="B22" s="10"/>
      <c r="C22" s="10"/>
      <c r="D22" s="53" t="str">
        <f>((BF22*100)&amp;"%"&amp;" time, "&amp;BG22&amp;" months, "&amp;BE22)</f>
        <v>0% time, 0 months, Summer</v>
      </c>
      <c r="E22" s="53"/>
      <c r="F22" s="16"/>
      <c r="G22" s="16"/>
      <c r="H22" s="54"/>
      <c r="I22" s="9"/>
      <c r="J22" s="380">
        <f>IF(BH22=0,0, IF($BA22="Yes",($BD$4/12*BH22),($BC22/$BD22*BH22)))</f>
        <v>0</v>
      </c>
      <c r="K22" s="380"/>
      <c r="L22" s="380">
        <f>IF(BL22=0,0,IF($BA22="Yes",($BD$4/12*BL22),($BC22*(1+$BD$7)/$BD22*BL22)))</f>
        <v>0</v>
      </c>
      <c r="M22" s="392"/>
      <c r="N22" s="380">
        <f>IF(BP22=0,0,IF($BA22="Yes",($BD$4/12*BP22),($BC22*(1+$BD$7)^2/$BD22*BP22)))</f>
        <v>0</v>
      </c>
      <c r="O22" s="392"/>
      <c r="P22" s="380">
        <f>IF(BT22=0,0,IF($BA22="Yes",($BD$4/12*BT22),($BC22*(1+$BD$7)^3/$BD22*BT22)))</f>
        <v>0</v>
      </c>
      <c r="Q22" s="392"/>
      <c r="R22" s="380">
        <f>IF(BX22=0,0,IF($BA22="Yes",($BD$4/12*BX22),($BC22*(1+$BD$7)^4/$BD22*BX22)))</f>
        <v>0</v>
      </c>
      <c r="S22" s="380"/>
      <c r="T22" s="380">
        <f>IF(CB22=0,0,($BC22*(1+$BD$7)^5/$BD22*CB22))</f>
        <v>0</v>
      </c>
      <c r="U22" s="380"/>
      <c r="V22" s="380">
        <f>IF(CF22=0,0,($BC22*(1+$BD$7)^6/$BD22*CF22))</f>
        <v>0</v>
      </c>
      <c r="W22" s="380"/>
      <c r="X22" s="380">
        <f>IF(CJ22=0,0,($BC22*(1+$BD$7)^7/$BD22*CJ22))</f>
        <v>0</v>
      </c>
      <c r="Y22" s="380"/>
      <c r="Z22" s="380">
        <f>IF(CN22=0,0,($BC22*(1+$BD$7)^8/$BD22*CN22))</f>
        <v>0</v>
      </c>
      <c r="AA22" s="380"/>
      <c r="AB22" s="380">
        <f>IF(CR22=0,0,($BC22*(1+$BD$7)^9/$BD22*CR22))</f>
        <v>0</v>
      </c>
      <c r="AC22" s="380"/>
      <c r="AD22" s="380">
        <f>J22+L22+N22+P22+R22+T22+V22+X22+Z22+AB22</f>
        <v>0</v>
      </c>
      <c r="AE22" s="380"/>
      <c r="AF22" s="321">
        <f>IF(BH22=0,0,($BC22/$BD22*BH22))*0</f>
        <v>0</v>
      </c>
      <c r="AH22" s="321">
        <f t="shared" ref="AH22:AH46" si="0">IF(BL22=0,0,($BC22*(1+$BD$7)/$BD22*BL22))*0</f>
        <v>0</v>
      </c>
      <c r="AI22" s="74"/>
      <c r="AJ22" s="321">
        <f>IF(BP22=0,0,($BC22*(1+$BD$7)^2/$BD22*BP22))*0</f>
        <v>0</v>
      </c>
      <c r="AK22" s="40"/>
      <c r="AL22" s="321">
        <f>IF(BT22=0,0,($BC22*(1+$BD$7)^3/$BD22*BT22))*0</f>
        <v>0</v>
      </c>
      <c r="AM22" s="40"/>
      <c r="AN22" s="321">
        <f>IF(BX22=0,0,($BC22*(1+$BD$7)^4/$BD22*BX22))*0</f>
        <v>0</v>
      </c>
      <c r="AO22" s="74"/>
      <c r="AP22" s="321">
        <f>IF(CB22=0,0,($BC22*(1+$BD$7)^5/$BD22*CB22))*0</f>
        <v>0</v>
      </c>
      <c r="AR22" s="321">
        <f>IF(CF22=0,0,($BC22*(1+$BD$7)^6/$BD22*CF22))*0</f>
        <v>0</v>
      </c>
      <c r="AS22" s="74"/>
      <c r="AT22" s="321">
        <f>IF(CJ22=0,0,($BC22*(1+$BD$7)^7/$BD22*CJ22))*0</f>
        <v>0</v>
      </c>
      <c r="AU22" s="74"/>
      <c r="AV22" s="321">
        <f>IF(CN22=0,0,($BC22*(1+$BD$7)^8/$BD22*CN22))*0</f>
        <v>0</v>
      </c>
      <c r="AW22" s="74"/>
      <c r="AX22" s="321">
        <f>IF(CR22=0,0,($BC22*(1+$BD$7)^9/$BD22*CR22))*0</f>
        <v>0</v>
      </c>
      <c r="AY22" s="74"/>
      <c r="AZ22" s="321">
        <f>AF22+AH22+AJ22+AL22+AN22+AP22+AR22+AT22+AV22+AX22</f>
        <v>0</v>
      </c>
      <c r="BA22" s="384" t="s">
        <v>253</v>
      </c>
      <c r="BC22" s="388"/>
      <c r="BD22" s="389">
        <v>12</v>
      </c>
      <c r="BE22" s="112" t="s">
        <v>84</v>
      </c>
      <c r="BF22" s="113">
        <v>0</v>
      </c>
      <c r="BG22" s="114">
        <v>0</v>
      </c>
      <c r="BH22" s="76">
        <f>BF22*BG22</f>
        <v>0</v>
      </c>
      <c r="BI22" s="50"/>
      <c r="BJ22" s="113">
        <f>IF($BD$15=1,0,BF22)</f>
        <v>0</v>
      </c>
      <c r="BK22" s="114">
        <f>IF($BD$15=1,0,BG22)</f>
        <v>0</v>
      </c>
      <c r="BL22" s="76">
        <f>BJ22*BK22</f>
        <v>0</v>
      </c>
      <c r="BM22" s="50"/>
      <c r="BN22" s="113">
        <f>IF($BD$15=2,0,BJ22)</f>
        <v>0</v>
      </c>
      <c r="BO22" s="114">
        <f>IF($BD$15=2,0,BK22)</f>
        <v>0</v>
      </c>
      <c r="BP22" s="76">
        <f>BN22*BO22</f>
        <v>0</v>
      </c>
      <c r="BQ22" s="50"/>
      <c r="BR22" s="113">
        <f>IF($BD$15=3,0,BN22)</f>
        <v>0</v>
      </c>
      <c r="BS22" s="114">
        <f>IF($BD$15=3,0,BO22)</f>
        <v>0</v>
      </c>
      <c r="BT22" s="76">
        <f>BR22*BS22</f>
        <v>0</v>
      </c>
      <c r="BU22" s="50"/>
      <c r="BV22" s="113">
        <f>IF($BD$15=4,0,BR22)</f>
        <v>0</v>
      </c>
      <c r="BW22" s="114">
        <f>IF($BD$15=4,0,BS22)</f>
        <v>0</v>
      </c>
      <c r="BX22" s="76">
        <f>BV22*BW22</f>
        <v>0</v>
      </c>
      <c r="BY22" s="115"/>
      <c r="BZ22" s="113">
        <f>IF($BD$15=5,0,BV22)</f>
        <v>0</v>
      </c>
      <c r="CA22" s="114">
        <f>IF($BD$15=5,0,BW22)</f>
        <v>0</v>
      </c>
      <c r="CB22" s="76">
        <f>BZ22*CA22</f>
        <v>0</v>
      </c>
      <c r="CC22" s="50"/>
      <c r="CD22" s="113">
        <f>IF($BD$15=6,0,BZ22)</f>
        <v>0</v>
      </c>
      <c r="CE22" s="114">
        <f>IF($BD$15=6,0,CA22)</f>
        <v>0</v>
      </c>
      <c r="CF22" s="76">
        <f>CD22*CE22</f>
        <v>0</v>
      </c>
      <c r="CG22" s="50"/>
      <c r="CH22" s="113">
        <f>IF($BD$15=7,0,CD22)</f>
        <v>0</v>
      </c>
      <c r="CI22" s="114">
        <f>IF($BD$15=7,0,CE22)</f>
        <v>0</v>
      </c>
      <c r="CJ22" s="76">
        <f>CH22*CI22</f>
        <v>0</v>
      </c>
      <c r="CK22" s="50"/>
      <c r="CL22" s="113">
        <f>IF($BD$15=8,0,CH22)</f>
        <v>0</v>
      </c>
      <c r="CM22" s="114">
        <f>IF($BD$15=8,0,CI22)</f>
        <v>0</v>
      </c>
      <c r="CN22" s="76">
        <f>CL22*CM22</f>
        <v>0</v>
      </c>
      <c r="CO22" s="50"/>
      <c r="CP22" s="113">
        <f>IF($BD$15=9,0,CL22)</f>
        <v>0</v>
      </c>
      <c r="CQ22" s="114">
        <f>IF($BD$15=9,0,CM22)</f>
        <v>0</v>
      </c>
      <c r="CR22" s="76">
        <f>CP22*CQ22</f>
        <v>0</v>
      </c>
      <c r="CS22" s="115">
        <f>BX22+BT22+BP22+BL22+BH22+CB22+CF22+CJ22+CN22+CR22</f>
        <v>0</v>
      </c>
    </row>
    <row r="23" spans="1:97" x14ac:dyDescent="0.25">
      <c r="A23" s="32"/>
      <c r="B23" s="10"/>
      <c r="C23" s="73" t="str">
        <f>"Co-PI: "&amp;E13</f>
        <v xml:space="preserve">Co-PI: </v>
      </c>
      <c r="H23" s="54"/>
      <c r="I23" s="9"/>
      <c r="M23" s="40"/>
      <c r="N23" s="40"/>
      <c r="O23" s="40"/>
      <c r="P23" s="40"/>
      <c r="Q23" s="40"/>
      <c r="R23" s="40"/>
      <c r="S23" s="40"/>
      <c r="W23" s="40"/>
      <c r="X23" s="74"/>
      <c r="Y23" s="40"/>
      <c r="Z23" s="74"/>
      <c r="AA23" s="40"/>
      <c r="AB23" s="74"/>
      <c r="AC23" s="40"/>
      <c r="AD23" s="74"/>
      <c r="AE23" s="40"/>
      <c r="AI23" s="40"/>
      <c r="AJ23" s="321"/>
      <c r="AK23" s="40"/>
      <c r="AL23" s="321"/>
      <c r="AM23" s="40"/>
      <c r="AN23" s="321"/>
      <c r="AO23" s="40"/>
      <c r="AS23" s="40"/>
      <c r="AT23" s="321"/>
      <c r="AU23" s="40"/>
      <c r="AV23" s="321"/>
      <c r="AW23" s="40"/>
      <c r="AX23" s="321"/>
      <c r="AY23" s="40"/>
      <c r="AZ23" s="321"/>
      <c r="BA23" s="390" t="s">
        <v>482</v>
      </c>
      <c r="BC23" s="110"/>
      <c r="BD23" s="111"/>
      <c r="BE23" s="116"/>
      <c r="BF23" s="113"/>
      <c r="BG23" s="114"/>
      <c r="BH23" s="76"/>
      <c r="BI23" s="50"/>
      <c r="BJ23" s="113"/>
      <c r="BK23" s="114"/>
      <c r="BL23" s="76"/>
      <c r="BM23" s="50"/>
      <c r="BN23" s="113"/>
      <c r="BO23" s="114"/>
      <c r="BP23" s="76"/>
      <c r="BQ23" s="50"/>
      <c r="BR23" s="113"/>
      <c r="BS23" s="114"/>
      <c r="BT23" s="76"/>
      <c r="BU23" s="50"/>
      <c r="BV23" s="113"/>
      <c r="BW23" s="114"/>
      <c r="BX23" s="76"/>
      <c r="BY23" s="115"/>
      <c r="BZ23" s="113"/>
      <c r="CA23" s="114"/>
      <c r="CB23" s="76"/>
      <c r="CC23" s="50"/>
      <c r="CD23" s="113"/>
      <c r="CE23" s="114"/>
      <c r="CF23" s="76"/>
      <c r="CG23" s="50"/>
      <c r="CH23" s="113"/>
      <c r="CI23" s="114"/>
      <c r="CJ23" s="76"/>
      <c r="CK23" s="50"/>
      <c r="CL23" s="113"/>
      <c r="CM23" s="114"/>
      <c r="CN23" s="76"/>
      <c r="CO23" s="50"/>
      <c r="CP23" s="113"/>
      <c r="CQ23" s="114"/>
      <c r="CR23" s="76"/>
      <c r="CS23" s="115"/>
    </row>
    <row r="24" spans="1:97" ht="16.5" customHeight="1" x14ac:dyDescent="0.25">
      <c r="A24" s="32" t="s">
        <v>235</v>
      </c>
      <c r="B24" s="10"/>
      <c r="C24" s="10"/>
      <c r="D24" s="53" t="str">
        <f>((BF24*100)&amp;"%"&amp;" time, "&amp;BG24&amp;" months, "&amp;BE24)</f>
        <v>0% time, 0 months, Summer</v>
      </c>
      <c r="E24" s="53"/>
      <c r="F24" s="16"/>
      <c r="G24" s="16"/>
      <c r="H24" s="54"/>
      <c r="I24" s="9"/>
      <c r="J24" s="393">
        <f>IF(BH24=0,0, IF($BA24="Yes",($BD$4/12*BH24),($BC24/$BD24*BH24)))</f>
        <v>0</v>
      </c>
      <c r="K24" s="393"/>
      <c r="L24" s="393">
        <f>IF(BL24=0,0,IF($BA24="Yes",($BD$4/12*BL24),($BC24*(1+$BD$7)/$BD24*BL24)))</f>
        <v>0</v>
      </c>
      <c r="M24" s="394"/>
      <c r="N24" s="393">
        <f>IF(BP24=0,0,IF($BA24="Yes",($BD$4/12*BP24),($BC24*(1+$BD$7)^2/$BD24*BP24)))</f>
        <v>0</v>
      </c>
      <c r="O24" s="394"/>
      <c r="P24" s="393">
        <f>IF(BT24=0,0,IF($BA24="Yes",($BD$4/12*BT24),($BC24*(1+$BD$7)^3/$BD24*BT24)))</f>
        <v>0</v>
      </c>
      <c r="Q24" s="394"/>
      <c r="R24" s="393">
        <f>IF(BX24=0,0,IF($BA24="Yes",($BD$4/12*BX24),($BC24*(1+$BD$7)^4/$BD24*BX24)))</f>
        <v>0</v>
      </c>
      <c r="S24" s="394"/>
      <c r="T24" s="393">
        <f>IF(CB24=0,0,($BC24*(1+$BD$7)^5/$BD24*CB24))</f>
        <v>0</v>
      </c>
      <c r="U24" s="393"/>
      <c r="V24" s="393">
        <f>IF(CF24=0,0,($BC24*(1+$BD$7)^6/$BD24*CF24))</f>
        <v>0</v>
      </c>
      <c r="W24" s="394"/>
      <c r="X24" s="393">
        <f t="shared" ref="X24:X30" si="1">IF(CJ24=0,0,($BC24*(1+$BD$7)^7/$BD24*CJ24))</f>
        <v>0</v>
      </c>
      <c r="Y24" s="394"/>
      <c r="Z24" s="393">
        <f t="shared" ref="Z24:Z30" si="2">IF(CN24=0,0,($BC24*(1+$BD$7)^8/$BD24*CN24))</f>
        <v>0</v>
      </c>
      <c r="AA24" s="394"/>
      <c r="AB24" s="393">
        <f t="shared" ref="AB24:AB30" si="3">IF(CR24=0,0,($BC24*(1+$BD$7)^9/$BD24*CR24))</f>
        <v>0</v>
      </c>
      <c r="AC24" s="393"/>
      <c r="AD24" s="393">
        <f>J24+L24+N24+P24+R24+T24+V24+X24+Z24+AB24</f>
        <v>0</v>
      </c>
      <c r="AE24" s="393"/>
      <c r="AF24" s="321">
        <f>IF(BH24=0,0,($BC24/$BD24*BH24))*0</f>
        <v>0</v>
      </c>
      <c r="AH24" s="321">
        <f t="shared" si="0"/>
        <v>0</v>
      </c>
      <c r="AI24" s="40"/>
      <c r="AJ24" s="321">
        <f t="shared" ref="AJ24:AJ46" si="4">IF(BP24=0,0,($BC24*(1+$BD$7)^2/$BD24*BP24))*0</f>
        <v>0</v>
      </c>
      <c r="AK24" s="40"/>
      <c r="AL24" s="321">
        <f t="shared" ref="AL24:AL46" si="5">IF(BT24=0,0,($BC24*(1+$BD$7)^3/$BD24*BT24))*0</f>
        <v>0</v>
      </c>
      <c r="AM24" s="40"/>
      <c r="AN24" s="321">
        <f t="shared" ref="AN24:AN46" si="6">IF(BX24=0,0,($BC24*(1+$BD$7)^4/$BD24*BX24))*0</f>
        <v>0</v>
      </c>
      <c r="AO24" s="40"/>
      <c r="AP24" s="321">
        <f t="shared" ref="AP24:AP46" si="7">IF(CB24=0,0,($BC24*(1+$BD$7)^5/$BD24*CB24))*0</f>
        <v>0</v>
      </c>
      <c r="AR24" s="321">
        <f t="shared" ref="AR24:AR46" si="8">IF(CF24=0,0,($BC24*(1+$BD$7)^6/$BD24*CF24))*0</f>
        <v>0</v>
      </c>
      <c r="AS24" s="40"/>
      <c r="AT24" s="321">
        <f t="shared" ref="AT24:AT46" si="9">IF(CJ24=0,0,($BC24*(1+$BD$7)^7/$BD24*CJ24))*0</f>
        <v>0</v>
      </c>
      <c r="AU24" s="40"/>
      <c r="AV24" s="321">
        <f t="shared" ref="AV24:AV46" si="10">IF(CN24=0,0,($BC24*(1+$BD$7)^8/$BD24*CN24))*0</f>
        <v>0</v>
      </c>
      <c r="AW24" s="40"/>
      <c r="AX24" s="321">
        <f t="shared" ref="AX24:AX46" si="11">IF(CR24=0,0,($BC24*(1+$BD$7)^9/$BD24*CR24))*0</f>
        <v>0</v>
      </c>
      <c r="AY24" s="74"/>
      <c r="AZ24" s="321">
        <f>AF24+AH24+AJ24+AL24+AN24+AP24+AR24+AT24+AV24+AX24</f>
        <v>0</v>
      </c>
      <c r="BA24" s="391" t="s">
        <v>253</v>
      </c>
      <c r="BC24" s="388"/>
      <c r="BD24" s="389">
        <v>12</v>
      </c>
      <c r="BE24" s="112" t="s">
        <v>84</v>
      </c>
      <c r="BF24" s="113">
        <v>0</v>
      </c>
      <c r="BG24" s="114">
        <v>0</v>
      </c>
      <c r="BH24" s="76">
        <f>BF24*BG24</f>
        <v>0</v>
      </c>
      <c r="BI24" s="50"/>
      <c r="BJ24" s="113">
        <f>IF($BD$15=1,0,BF24)</f>
        <v>0</v>
      </c>
      <c r="BK24" s="114">
        <f>IF($BD$15=1,0,BG24)</f>
        <v>0</v>
      </c>
      <c r="BL24" s="76">
        <f>BJ24*BK24</f>
        <v>0</v>
      </c>
      <c r="BM24" s="50"/>
      <c r="BN24" s="113">
        <f>IF($BD$15=2,0,BJ24)</f>
        <v>0</v>
      </c>
      <c r="BO24" s="114">
        <f>IF($BD$15=2,0,BK24)</f>
        <v>0</v>
      </c>
      <c r="BP24" s="76">
        <f>BN24*BO24</f>
        <v>0</v>
      </c>
      <c r="BQ24" s="50"/>
      <c r="BR24" s="113">
        <f>IF($BD$15=3,0,BN24)</f>
        <v>0</v>
      </c>
      <c r="BS24" s="114">
        <f>IF($BD$15=3,0,BO24)</f>
        <v>0</v>
      </c>
      <c r="BT24" s="76">
        <f>BR24*BS24</f>
        <v>0</v>
      </c>
      <c r="BU24" s="50"/>
      <c r="BV24" s="113">
        <f>IF($BD$15=4,0,BR24)</f>
        <v>0</v>
      </c>
      <c r="BW24" s="114">
        <f>IF($BD$15=4,0,BS24)</f>
        <v>0</v>
      </c>
      <c r="BX24" s="76">
        <f>BV24*BW24</f>
        <v>0</v>
      </c>
      <c r="BY24" s="115"/>
      <c r="BZ24" s="113">
        <f>IF($BD$15=5,0,BV24)</f>
        <v>0</v>
      </c>
      <c r="CA24" s="114">
        <f t="shared" ref="CA24:CA64" si="12">IF($BD$15=5,0,BW24)</f>
        <v>0</v>
      </c>
      <c r="CB24" s="76">
        <f>BZ24*CA24</f>
        <v>0</v>
      </c>
      <c r="CC24" s="50"/>
      <c r="CD24" s="113">
        <f t="shared" ref="CD24:CD62" si="13">IF($BD$15=6,0,BZ24)</f>
        <v>0</v>
      </c>
      <c r="CE24" s="114">
        <f t="shared" ref="CE24:CE64" si="14">IF($BD$15=6,0,CA24)</f>
        <v>0</v>
      </c>
      <c r="CF24" s="76">
        <f>CD24*CE24</f>
        <v>0</v>
      </c>
      <c r="CG24" s="50"/>
      <c r="CH24" s="113">
        <f t="shared" ref="CH24:CH64" si="15">IF($BD$15=7,0,CD24)</f>
        <v>0</v>
      </c>
      <c r="CI24" s="114">
        <f t="shared" ref="CI24:CI64" si="16">IF($BD$15=7,0,CE24)</f>
        <v>0</v>
      </c>
      <c r="CJ24" s="76">
        <f>CH24*CI24</f>
        <v>0</v>
      </c>
      <c r="CK24" s="50"/>
      <c r="CL24" s="113">
        <f t="shared" ref="CL24:CL64" si="17">IF($BD$15=8,0,CH24)</f>
        <v>0</v>
      </c>
      <c r="CM24" s="114">
        <f t="shared" ref="CM24:CM62" si="18">IF($BD$15=8,0,CI24)</f>
        <v>0</v>
      </c>
      <c r="CN24" s="76">
        <f>CL24*CM24</f>
        <v>0</v>
      </c>
      <c r="CO24" s="50"/>
      <c r="CP24" s="113">
        <f t="shared" ref="CP24:CP64" si="19">IF($BD$15=9,0,CL24)</f>
        <v>0</v>
      </c>
      <c r="CQ24" s="114">
        <f t="shared" ref="CQ24:CQ64" si="20">IF($BD$15=9,0,CM24)</f>
        <v>0</v>
      </c>
      <c r="CR24" s="76">
        <f>CP24*CQ24</f>
        <v>0</v>
      </c>
      <c r="CS24" s="115">
        <f t="shared" ref="CS24:CS64" si="21">BX24+BT24+BP24+BL24+BH24+CB24+CF24+CJ24+CN24+CR24</f>
        <v>0</v>
      </c>
    </row>
    <row r="25" spans="1:97" ht="16.5" customHeight="1" x14ac:dyDescent="0.25">
      <c r="A25" s="32"/>
      <c r="B25" s="10"/>
      <c r="C25" s="73" t="str">
        <f>"Co-PI: "&amp;E14</f>
        <v xml:space="preserve">Co-PI: </v>
      </c>
      <c r="H25" s="54"/>
      <c r="I25" s="9"/>
      <c r="L25" s="74" t="s">
        <v>218</v>
      </c>
      <c r="M25" s="40"/>
      <c r="N25" s="40"/>
      <c r="O25" s="40"/>
      <c r="P25" s="40"/>
      <c r="Q25" s="40"/>
      <c r="R25" s="40"/>
      <c r="S25" s="40"/>
      <c r="W25" s="40"/>
      <c r="X25" s="74"/>
      <c r="Y25" s="40"/>
      <c r="Z25" s="74"/>
      <c r="AA25" s="40"/>
      <c r="AB25" s="74"/>
      <c r="AC25" s="40"/>
      <c r="AD25" s="74"/>
      <c r="AE25" s="40"/>
      <c r="AI25" s="40"/>
      <c r="AJ25" s="321"/>
      <c r="AK25" s="40"/>
      <c r="AL25" s="321"/>
      <c r="AM25" s="40"/>
      <c r="AN25" s="321"/>
      <c r="AO25" s="40"/>
      <c r="AS25" s="40"/>
      <c r="AT25" s="321"/>
      <c r="AU25" s="40"/>
      <c r="AV25" s="321"/>
      <c r="AW25" s="40"/>
      <c r="AX25" s="321"/>
      <c r="AY25" s="40"/>
      <c r="AZ25" s="321"/>
      <c r="BA25" s="383" t="s">
        <v>482</v>
      </c>
      <c r="BC25" s="110"/>
      <c r="BD25" s="111"/>
      <c r="BE25" s="116"/>
      <c r="BF25" s="113"/>
      <c r="BG25" s="114"/>
      <c r="BH25" s="76"/>
      <c r="BI25" s="50"/>
      <c r="BJ25" s="113"/>
      <c r="BK25" s="114"/>
      <c r="BL25" s="76"/>
      <c r="BM25" s="50"/>
      <c r="BN25" s="113"/>
      <c r="BO25" s="114"/>
      <c r="BP25" s="76"/>
      <c r="BQ25" s="50"/>
      <c r="BR25" s="113"/>
      <c r="BS25" s="114"/>
      <c r="BT25" s="76"/>
      <c r="BU25" s="50"/>
      <c r="BV25" s="113"/>
      <c r="BW25" s="114"/>
      <c r="BX25" s="76"/>
      <c r="BY25" s="115"/>
      <c r="BZ25" s="113"/>
      <c r="CA25" s="114"/>
      <c r="CB25" s="76"/>
      <c r="CC25" s="50"/>
      <c r="CD25" s="113"/>
      <c r="CE25" s="114"/>
      <c r="CF25" s="76"/>
      <c r="CG25" s="50"/>
      <c r="CH25" s="113"/>
      <c r="CI25" s="114"/>
      <c r="CJ25" s="76"/>
      <c r="CK25" s="50"/>
      <c r="CL25" s="113"/>
      <c r="CM25" s="114"/>
      <c r="CN25" s="76"/>
      <c r="CO25" s="50"/>
      <c r="CP25" s="113"/>
      <c r="CQ25" s="114"/>
      <c r="CR25" s="76"/>
      <c r="CS25" s="115"/>
    </row>
    <row r="26" spans="1:97" ht="16.5" customHeight="1" x14ac:dyDescent="0.25">
      <c r="A26" s="32" t="s">
        <v>235</v>
      </c>
      <c r="B26" s="10"/>
      <c r="D26" s="53" t="str">
        <f>((BF26*100)&amp;"%"&amp;" time, "&amp;BG26&amp;" months, "&amp;BE26)</f>
        <v>0% time, 0 months, Summer</v>
      </c>
      <c r="E26" s="53"/>
      <c r="H26" s="54"/>
      <c r="I26" s="9"/>
      <c r="J26" s="380">
        <f>IF(BH26=0,0, IF($BA26="Yes",($BD$4/12*BH26),($BC26/$BD26*BH26)))</f>
        <v>0</v>
      </c>
      <c r="K26" s="380"/>
      <c r="L26" s="380">
        <f>IF(BL26=0,0,IF($BA26="Yes",($BD$4/12*BL26),($BC26*(1+$BD$7)/$BD26*BL26)))</f>
        <v>0</v>
      </c>
      <c r="M26" s="392"/>
      <c r="N26" s="380">
        <f>IF(BP26=0,0,IF($BA26="Yes",($BD$4/12*BP26),($BC26*(1+$BD$7)^2/$BD26*BP26)))</f>
        <v>0</v>
      </c>
      <c r="O26" s="392"/>
      <c r="P26" s="380">
        <f>IF(BT26=0,0,IF($BA26="Yes",($BD$4/12*BT26),($BC26*(1+$BD$7)^3/$BD26*BT26)))</f>
        <v>0</v>
      </c>
      <c r="Q26" s="392"/>
      <c r="R26" s="380">
        <f>IF(BX26=0,0,IF($BA26="Yes",($BD$4/12*BX26),($BC26*(1+$BD$7)^4/$BD26*BX26)))</f>
        <v>0</v>
      </c>
      <c r="S26" s="392"/>
      <c r="T26" s="380">
        <f>IF(CB26=0,0,($BC26*(1+$BD$7)^5/$BD26*CB26))</f>
        <v>0</v>
      </c>
      <c r="U26" s="380"/>
      <c r="V26" s="380">
        <f>IF(CF26=0,0,($BC26*(1+$BD$7)^6/$BD26*CF26))</f>
        <v>0</v>
      </c>
      <c r="W26" s="392"/>
      <c r="X26" s="380">
        <f t="shared" si="1"/>
        <v>0</v>
      </c>
      <c r="Y26" s="392"/>
      <c r="Z26" s="380">
        <f t="shared" si="2"/>
        <v>0</v>
      </c>
      <c r="AA26" s="392"/>
      <c r="AB26" s="380">
        <f t="shared" si="3"/>
        <v>0</v>
      </c>
      <c r="AC26" s="380"/>
      <c r="AD26" s="380">
        <f>J26+L26+N26+P26+R26+T26+V26+X26+Z26+AB26</f>
        <v>0</v>
      </c>
      <c r="AE26" s="380"/>
      <c r="AF26" s="321">
        <f>IF(BH26=0,0,($BC26/$BD26*BH26))*0</f>
        <v>0</v>
      </c>
      <c r="AH26" s="321">
        <f>IF(BL26=0,0,($BC26*(1+$BD$7)/$BD26*BL26))*0</f>
        <v>0</v>
      </c>
      <c r="AI26" s="40"/>
      <c r="AJ26" s="321">
        <f t="shared" si="4"/>
        <v>0</v>
      </c>
      <c r="AK26" s="40"/>
      <c r="AL26" s="321">
        <f t="shared" si="5"/>
        <v>0</v>
      </c>
      <c r="AM26" s="40"/>
      <c r="AN26" s="321">
        <f t="shared" si="6"/>
        <v>0</v>
      </c>
      <c r="AO26" s="40"/>
      <c r="AP26" s="321">
        <f t="shared" si="7"/>
        <v>0</v>
      </c>
      <c r="AR26" s="321">
        <f t="shared" si="8"/>
        <v>0</v>
      </c>
      <c r="AS26" s="40"/>
      <c r="AT26" s="321">
        <f t="shared" si="9"/>
        <v>0</v>
      </c>
      <c r="AU26" s="40"/>
      <c r="AV26" s="321">
        <f t="shared" si="10"/>
        <v>0</v>
      </c>
      <c r="AW26" s="40"/>
      <c r="AX26" s="321">
        <f t="shared" si="11"/>
        <v>0</v>
      </c>
      <c r="AY26" s="74"/>
      <c r="AZ26" s="321">
        <f>AF26+AH26+AJ26+AL26+AN26+AP26+AR26+AT26+AV26+AX26</f>
        <v>0</v>
      </c>
      <c r="BA26" s="384" t="s">
        <v>253</v>
      </c>
      <c r="BC26" s="388"/>
      <c r="BD26" s="389">
        <v>12</v>
      </c>
      <c r="BE26" s="112" t="s">
        <v>84</v>
      </c>
      <c r="BF26" s="113">
        <v>0</v>
      </c>
      <c r="BG26" s="114">
        <v>0</v>
      </c>
      <c r="BH26" s="76">
        <f>BF26*BG26</f>
        <v>0</v>
      </c>
      <c r="BI26" s="50"/>
      <c r="BJ26" s="113">
        <f>IF($BD$15=1,0,BF26)</f>
        <v>0</v>
      </c>
      <c r="BK26" s="114">
        <f>IF($BD$15=1,0,BG26)</f>
        <v>0</v>
      </c>
      <c r="BL26" s="76">
        <f>BJ26*BK26</f>
        <v>0</v>
      </c>
      <c r="BM26" s="50"/>
      <c r="BN26" s="113">
        <f>IF($BD$15=2,0,BJ26)</f>
        <v>0</v>
      </c>
      <c r="BO26" s="114">
        <f>IF($BD$15=2,0,BK26)</f>
        <v>0</v>
      </c>
      <c r="BP26" s="76">
        <f>BN26*BO26</f>
        <v>0</v>
      </c>
      <c r="BQ26" s="50"/>
      <c r="BR26" s="113">
        <f>IF($BD$15=3,0,BN26)</f>
        <v>0</v>
      </c>
      <c r="BS26" s="114">
        <f>IF($BD$15=3,0,BO26)</f>
        <v>0</v>
      </c>
      <c r="BT26" s="76">
        <f>BR26*BS26</f>
        <v>0</v>
      </c>
      <c r="BU26" s="50"/>
      <c r="BV26" s="113">
        <f>IF($BD$15=4,0,BR26)</f>
        <v>0</v>
      </c>
      <c r="BW26" s="114">
        <f>IF($BD$15=4,0,BS26)</f>
        <v>0</v>
      </c>
      <c r="BX26" s="76">
        <f>BV26*BW26</f>
        <v>0</v>
      </c>
      <c r="BY26" s="115"/>
      <c r="BZ26" s="113">
        <f>IF($BD$15=5,0,BV26)</f>
        <v>0</v>
      </c>
      <c r="CA26" s="114">
        <f t="shared" si="12"/>
        <v>0</v>
      </c>
      <c r="CB26" s="76">
        <f>BZ26*CA26</f>
        <v>0</v>
      </c>
      <c r="CC26" s="50"/>
      <c r="CD26" s="113">
        <f t="shared" si="13"/>
        <v>0</v>
      </c>
      <c r="CE26" s="114">
        <f>IF($BD$15=6,0,CA26)</f>
        <v>0</v>
      </c>
      <c r="CF26" s="76">
        <f>CD26*CE26</f>
        <v>0</v>
      </c>
      <c r="CG26" s="50"/>
      <c r="CH26" s="113">
        <f t="shared" si="15"/>
        <v>0</v>
      </c>
      <c r="CI26" s="114">
        <f t="shared" si="16"/>
        <v>0</v>
      </c>
      <c r="CJ26" s="76">
        <f>CH26*CI26</f>
        <v>0</v>
      </c>
      <c r="CK26" s="50"/>
      <c r="CL26" s="113">
        <f t="shared" si="17"/>
        <v>0</v>
      </c>
      <c r="CM26" s="114">
        <f t="shared" si="18"/>
        <v>0</v>
      </c>
      <c r="CN26" s="76">
        <f>CL26*CM26</f>
        <v>0</v>
      </c>
      <c r="CO26" s="50"/>
      <c r="CP26" s="113">
        <f t="shared" si="19"/>
        <v>0</v>
      </c>
      <c r="CQ26" s="114">
        <f t="shared" si="20"/>
        <v>0</v>
      </c>
      <c r="CR26" s="76">
        <f>CP26*CQ26</f>
        <v>0</v>
      </c>
      <c r="CS26" s="115">
        <f t="shared" si="21"/>
        <v>0</v>
      </c>
    </row>
    <row r="27" spans="1:97" ht="16.5" customHeight="1" x14ac:dyDescent="0.25">
      <c r="A27" s="32"/>
      <c r="B27" s="10"/>
      <c r="C27" s="73" t="str">
        <f>"Co-PI: "&amp;E15</f>
        <v xml:space="preserve">Co-PI: </v>
      </c>
      <c r="H27" s="54"/>
      <c r="I27" s="9"/>
      <c r="M27" s="40"/>
      <c r="N27" s="40"/>
      <c r="O27" s="40"/>
      <c r="P27" s="40"/>
      <c r="Q27" s="40"/>
      <c r="R27" s="40"/>
      <c r="S27" s="40"/>
      <c r="W27" s="40"/>
      <c r="X27" s="74"/>
      <c r="Y27" s="40"/>
      <c r="Z27" s="74"/>
      <c r="AA27" s="40"/>
      <c r="AB27" s="74"/>
      <c r="AC27" s="40"/>
      <c r="AD27" s="74"/>
      <c r="AE27" s="40"/>
      <c r="AI27" s="40"/>
      <c r="AJ27" s="321"/>
      <c r="AK27" s="40"/>
      <c r="AL27" s="321"/>
      <c r="AM27" s="40"/>
      <c r="AN27" s="321"/>
      <c r="AO27" s="40"/>
      <c r="AS27" s="40"/>
      <c r="AT27" s="321"/>
      <c r="AU27" s="40"/>
      <c r="AV27" s="321"/>
      <c r="AW27" s="40"/>
      <c r="AX27" s="321"/>
      <c r="AY27" s="40"/>
      <c r="AZ27" s="321"/>
      <c r="BA27" s="390" t="s">
        <v>482</v>
      </c>
      <c r="BC27" s="110"/>
      <c r="BD27" s="111"/>
      <c r="BE27" s="116"/>
      <c r="BF27" s="113"/>
      <c r="BG27" s="114"/>
      <c r="BH27" s="76"/>
      <c r="BI27" s="50"/>
      <c r="BJ27" s="113"/>
      <c r="BK27" s="114"/>
      <c r="BL27" s="76"/>
      <c r="BM27" s="50"/>
      <c r="BN27" s="113"/>
      <c r="BO27" s="114"/>
      <c r="BP27" s="76"/>
      <c r="BQ27" s="50"/>
      <c r="BR27" s="113"/>
      <c r="BS27" s="114"/>
      <c r="BT27" s="76"/>
      <c r="BU27" s="50"/>
      <c r="BV27" s="113"/>
      <c r="BW27" s="114"/>
      <c r="BX27" s="76"/>
      <c r="BY27" s="115"/>
      <c r="BZ27" s="113"/>
      <c r="CA27" s="114"/>
      <c r="CB27" s="76"/>
      <c r="CC27" s="50"/>
      <c r="CD27" s="113"/>
      <c r="CE27" s="114"/>
      <c r="CF27" s="76"/>
      <c r="CG27" s="50"/>
      <c r="CH27" s="113"/>
      <c r="CI27" s="114"/>
      <c r="CJ27" s="76"/>
      <c r="CK27" s="50"/>
      <c r="CL27" s="113"/>
      <c r="CM27" s="114"/>
      <c r="CN27" s="76"/>
      <c r="CO27" s="50"/>
      <c r="CP27" s="113"/>
      <c r="CQ27" s="114"/>
      <c r="CR27" s="76"/>
      <c r="CS27" s="115"/>
    </row>
    <row r="28" spans="1:97" ht="16.5" customHeight="1" x14ac:dyDescent="0.25">
      <c r="A28" s="32" t="s">
        <v>235</v>
      </c>
      <c r="B28" s="10"/>
      <c r="D28" s="53" t="str">
        <f>((BF28*100)&amp;"%"&amp;" time, "&amp;BG28&amp;" months, "&amp;BE28)</f>
        <v>0% time, 0 months, Summer</v>
      </c>
      <c r="E28" s="53"/>
      <c r="H28" s="54"/>
      <c r="I28" s="9"/>
      <c r="J28" s="393">
        <f>IF(BH28=0,0, IF($BA28="Yes",($BD$4/12*BH28),($BC28/$BD28*BH28)))</f>
        <v>0</v>
      </c>
      <c r="K28" s="393"/>
      <c r="L28" s="393">
        <f>IF(BL28=0,0,IF($BA28="Yes",($BD$4/12*BL28),($BC28*(1+$BD$7)/$BD28*BL28)))</f>
        <v>0</v>
      </c>
      <c r="M28" s="394"/>
      <c r="N28" s="393">
        <f>IF(BP28=0,0,IF($BA28="Yes",($BD$4/12*BP28),($BC28*(1+$BD$7)^2/$BD28*BP28)))</f>
        <v>0</v>
      </c>
      <c r="O28" s="394"/>
      <c r="P28" s="393">
        <f>IF(BT28=0,0,IF($BA28="Yes",($BD$4/12*BT28),($BC28*(1+$BD$7)^3/$BD28*BT28)))</f>
        <v>0</v>
      </c>
      <c r="Q28" s="394"/>
      <c r="R28" s="393">
        <f>IF(BX28=0,0,IF($BA28="Yes",($BD$4/12*BX28),($BC28*(1+$BD$7)^4/$BD28*BX28)))</f>
        <v>0</v>
      </c>
      <c r="S28" s="394"/>
      <c r="T28" s="393">
        <f>IF(CB28=0,0,($BC28*(1+$BD$7)^5/$BD28*CB28))</f>
        <v>0</v>
      </c>
      <c r="U28" s="393"/>
      <c r="V28" s="393">
        <f>IF(CF28=0,0,($BC28*(1+$BD$7)^6/$BD28*CF28))</f>
        <v>0</v>
      </c>
      <c r="W28" s="394"/>
      <c r="X28" s="393">
        <f t="shared" si="1"/>
        <v>0</v>
      </c>
      <c r="Y28" s="394"/>
      <c r="Z28" s="393">
        <f t="shared" si="2"/>
        <v>0</v>
      </c>
      <c r="AA28" s="394"/>
      <c r="AB28" s="393">
        <f t="shared" si="3"/>
        <v>0</v>
      </c>
      <c r="AC28" s="393"/>
      <c r="AD28" s="393">
        <f>J28+L28+N28+P28+R28+T28+V28+X28+Z28+AB28</f>
        <v>0</v>
      </c>
      <c r="AE28" s="393"/>
      <c r="AF28" s="321">
        <f t="shared" ref="AF28:AF44" si="22">IF(BH28=0,0,($BC28/$BD28*BH28))*0</f>
        <v>0</v>
      </c>
      <c r="AH28" s="321">
        <f t="shared" si="0"/>
        <v>0</v>
      </c>
      <c r="AI28" s="40"/>
      <c r="AJ28" s="321">
        <f t="shared" si="4"/>
        <v>0</v>
      </c>
      <c r="AK28" s="40"/>
      <c r="AL28" s="321">
        <f t="shared" si="5"/>
        <v>0</v>
      </c>
      <c r="AM28" s="40"/>
      <c r="AN28" s="321">
        <f t="shared" si="6"/>
        <v>0</v>
      </c>
      <c r="AO28" s="40"/>
      <c r="AP28" s="321">
        <f t="shared" si="7"/>
        <v>0</v>
      </c>
      <c r="AR28" s="321">
        <f t="shared" si="8"/>
        <v>0</v>
      </c>
      <c r="AS28" s="40"/>
      <c r="AT28" s="321">
        <f t="shared" si="9"/>
        <v>0</v>
      </c>
      <c r="AU28" s="40"/>
      <c r="AV28" s="321">
        <f t="shared" si="10"/>
        <v>0</v>
      </c>
      <c r="AW28" s="40"/>
      <c r="AX28" s="321">
        <f t="shared" si="11"/>
        <v>0</v>
      </c>
      <c r="AY28" s="74"/>
      <c r="AZ28" s="321">
        <f>AF28+AH28+AJ28+AL28+AN28+AP28+AR28+AT28+AV28+AX28</f>
        <v>0</v>
      </c>
      <c r="BA28" s="391" t="s">
        <v>253</v>
      </c>
      <c r="BC28" s="388"/>
      <c r="BD28" s="389">
        <v>12</v>
      </c>
      <c r="BE28" s="112" t="s">
        <v>84</v>
      </c>
      <c r="BF28" s="113">
        <v>0</v>
      </c>
      <c r="BG28" s="114">
        <v>0</v>
      </c>
      <c r="BH28" s="76">
        <f>BF28*BG28</f>
        <v>0</v>
      </c>
      <c r="BI28" s="50"/>
      <c r="BJ28" s="113">
        <f>IF($BD$15=1,0,BF28)</f>
        <v>0</v>
      </c>
      <c r="BK28" s="114">
        <f>IF($BD$15=1,0,BG28)</f>
        <v>0</v>
      </c>
      <c r="BL28" s="76">
        <f>BJ28*BK28</f>
        <v>0</v>
      </c>
      <c r="BM28" s="50"/>
      <c r="BN28" s="113">
        <f>IF($BD$15=2,0,BJ28)</f>
        <v>0</v>
      </c>
      <c r="BO28" s="114">
        <f>IF($BD$15=2,0,BK28)</f>
        <v>0</v>
      </c>
      <c r="BP28" s="76">
        <f>BN28*BO28</f>
        <v>0</v>
      </c>
      <c r="BQ28" s="50"/>
      <c r="BR28" s="113">
        <f>IF($BD$15=3,0,BN28)</f>
        <v>0</v>
      </c>
      <c r="BS28" s="114">
        <f>IF($BD$15=3,0,BO28)</f>
        <v>0</v>
      </c>
      <c r="BT28" s="76">
        <f>BR28*BS28</f>
        <v>0</v>
      </c>
      <c r="BU28" s="50"/>
      <c r="BV28" s="113">
        <f>IF($BD$15=4,0,BR28)</f>
        <v>0</v>
      </c>
      <c r="BW28" s="114">
        <f>IF($BD$15=4,0,BS28)</f>
        <v>0</v>
      </c>
      <c r="BX28" s="76">
        <f>BV28*BW28</f>
        <v>0</v>
      </c>
      <c r="BY28" s="115"/>
      <c r="BZ28" s="113">
        <f t="shared" ref="BZ28:BZ62" si="23">IF($BD$15=5,0,BV28)</f>
        <v>0</v>
      </c>
      <c r="CA28" s="114">
        <f t="shared" si="12"/>
        <v>0</v>
      </c>
      <c r="CB28" s="76">
        <f>BZ28*CA28</f>
        <v>0</v>
      </c>
      <c r="CC28" s="50"/>
      <c r="CD28" s="113">
        <f t="shared" si="13"/>
        <v>0</v>
      </c>
      <c r="CE28" s="114">
        <f t="shared" si="14"/>
        <v>0</v>
      </c>
      <c r="CF28" s="76">
        <f>CD28*CE28</f>
        <v>0</v>
      </c>
      <c r="CG28" s="50"/>
      <c r="CH28" s="113">
        <f t="shared" si="15"/>
        <v>0</v>
      </c>
      <c r="CI28" s="114">
        <f t="shared" si="16"/>
        <v>0</v>
      </c>
      <c r="CJ28" s="76">
        <f>CH28*CI28</f>
        <v>0</v>
      </c>
      <c r="CK28" s="50"/>
      <c r="CL28" s="113">
        <f t="shared" si="17"/>
        <v>0</v>
      </c>
      <c r="CM28" s="114">
        <f t="shared" si="18"/>
        <v>0</v>
      </c>
      <c r="CN28" s="76">
        <f>CL28*CM28</f>
        <v>0</v>
      </c>
      <c r="CO28" s="50"/>
      <c r="CP28" s="113">
        <f t="shared" si="19"/>
        <v>0</v>
      </c>
      <c r="CQ28" s="114">
        <f t="shared" si="20"/>
        <v>0</v>
      </c>
      <c r="CR28" s="76">
        <f>CP28*CQ28</f>
        <v>0</v>
      </c>
      <c r="CS28" s="115">
        <f t="shared" si="21"/>
        <v>0</v>
      </c>
    </row>
    <row r="29" spans="1:97" ht="16.5" customHeight="1" x14ac:dyDescent="0.25">
      <c r="A29" s="32"/>
      <c r="B29" s="10"/>
      <c r="C29" s="73" t="str">
        <f>"Co-PI: "&amp;E16</f>
        <v xml:space="preserve">Co-PI: </v>
      </c>
      <c r="H29" s="54"/>
      <c r="I29" s="9"/>
      <c r="M29" s="40"/>
      <c r="N29" s="40"/>
      <c r="O29" s="40"/>
      <c r="P29" s="40"/>
      <c r="Q29" s="40"/>
      <c r="R29" s="40"/>
      <c r="S29" s="40"/>
      <c r="W29" s="40"/>
      <c r="X29" s="74"/>
      <c r="Y29" s="40"/>
      <c r="Z29" s="74"/>
      <c r="AA29" s="40"/>
      <c r="AB29" s="74"/>
      <c r="AC29" s="40"/>
      <c r="AD29" s="74"/>
      <c r="AE29" s="40"/>
      <c r="AI29" s="40"/>
      <c r="AJ29" s="321"/>
      <c r="AK29" s="40"/>
      <c r="AL29" s="321"/>
      <c r="AM29" s="40"/>
      <c r="AN29" s="321"/>
      <c r="AO29" s="40"/>
      <c r="AS29" s="40"/>
      <c r="AT29" s="321"/>
      <c r="AU29" s="40"/>
      <c r="AV29" s="321"/>
      <c r="AW29" s="40"/>
      <c r="AX29" s="321"/>
      <c r="AY29" s="40"/>
      <c r="AZ29" s="321"/>
      <c r="BA29" s="383" t="s">
        <v>482</v>
      </c>
      <c r="BC29" s="110"/>
      <c r="BD29" s="111"/>
      <c r="BE29" s="116"/>
      <c r="BF29" s="113"/>
      <c r="BG29" s="114"/>
      <c r="BH29" s="76"/>
      <c r="BI29" s="50"/>
      <c r="BJ29" s="113"/>
      <c r="BK29" s="114"/>
      <c r="BL29" s="76"/>
      <c r="BM29" s="50"/>
      <c r="BN29" s="113"/>
      <c r="BO29" s="114"/>
      <c r="BP29" s="76"/>
      <c r="BQ29" s="50"/>
      <c r="BR29" s="113"/>
      <c r="BS29" s="114"/>
      <c r="BT29" s="76"/>
      <c r="BU29" s="50"/>
      <c r="BV29" s="113"/>
      <c r="BW29" s="114"/>
      <c r="BX29" s="76"/>
      <c r="BY29" s="115"/>
      <c r="BZ29" s="113"/>
      <c r="CA29" s="114"/>
      <c r="CB29" s="76"/>
      <c r="CC29" s="50"/>
      <c r="CD29" s="113"/>
      <c r="CE29" s="114"/>
      <c r="CF29" s="76"/>
      <c r="CG29" s="50"/>
      <c r="CH29" s="113"/>
      <c r="CI29" s="114"/>
      <c r="CJ29" s="76"/>
      <c r="CK29" s="50"/>
      <c r="CL29" s="113"/>
      <c r="CM29" s="114"/>
      <c r="CN29" s="76"/>
      <c r="CO29" s="50"/>
      <c r="CP29" s="113"/>
      <c r="CQ29" s="114"/>
      <c r="CR29" s="76"/>
      <c r="CS29" s="115"/>
    </row>
    <row r="30" spans="1:97" ht="16.5" customHeight="1" x14ac:dyDescent="0.25">
      <c r="A30" s="32" t="s">
        <v>235</v>
      </c>
      <c r="B30" s="10"/>
      <c r="D30" s="53" t="str">
        <f>((BF30*100)&amp;"%"&amp;" time, "&amp;BG30&amp;" months, "&amp;BE30)</f>
        <v>0% time, 0 months, Summer</v>
      </c>
      <c r="E30" s="53"/>
      <c r="H30" s="54"/>
      <c r="I30" s="9"/>
      <c r="J30" s="380">
        <f>IF(BH30=0,0, IF($BA30="Yes",($BD$4/12*BH30),($BC30/$BD30*BH30)))</f>
        <v>0</v>
      </c>
      <c r="K30" s="380"/>
      <c r="L30" s="380">
        <f>IF(BL30=0,0,IF($BA30="Yes",($BD$4/12*BL30),($BC30*(1+$BD$7)/$BD30*BL30)))</f>
        <v>0</v>
      </c>
      <c r="M30" s="392"/>
      <c r="N30" s="380">
        <f>IF(BP30=0,0,IF($BA30="Yes",($BD$4/12*BP30),($BC30*(1+$BD$7)^2/$BD30*BP30)))</f>
        <v>0</v>
      </c>
      <c r="O30" s="392"/>
      <c r="P30" s="380">
        <f>IF(BT30=0,0,IF($BA30="Yes",($BD$4/12*BT30),($BC30*(1+$BD$7)^3/$BD30*BT30)))</f>
        <v>0</v>
      </c>
      <c r="Q30" s="392"/>
      <c r="R30" s="380">
        <f>IF(BX30=0,0,IF($BA30="Yes",($BD$4/12*BX30),($BC30*(1+$BD$7)^4/$BD30*BX30)))</f>
        <v>0</v>
      </c>
      <c r="S30" s="392"/>
      <c r="T30" s="380">
        <f>IF(CB30=0,0,($BC30*(1+$BD$7)^5/$BD30*CB30))</f>
        <v>0</v>
      </c>
      <c r="U30" s="380"/>
      <c r="V30" s="380">
        <f>IF(CF30=0,0,($BC30*(1+$BD$7)^6/$BD30*CF30))</f>
        <v>0</v>
      </c>
      <c r="W30" s="392"/>
      <c r="X30" s="380">
        <f t="shared" si="1"/>
        <v>0</v>
      </c>
      <c r="Y30" s="392"/>
      <c r="Z30" s="380">
        <f t="shared" si="2"/>
        <v>0</v>
      </c>
      <c r="AA30" s="392"/>
      <c r="AB30" s="380">
        <f t="shared" si="3"/>
        <v>0</v>
      </c>
      <c r="AC30" s="380"/>
      <c r="AD30" s="380">
        <f>J30+L30+N30+P30+R30+T30+V30+X30+Z30+AB30</f>
        <v>0</v>
      </c>
      <c r="AE30" s="380"/>
      <c r="AF30" s="321">
        <f t="shared" si="22"/>
        <v>0</v>
      </c>
      <c r="AH30" s="321">
        <f t="shared" si="0"/>
        <v>0</v>
      </c>
      <c r="AI30" s="40"/>
      <c r="AJ30" s="321">
        <f t="shared" si="4"/>
        <v>0</v>
      </c>
      <c r="AK30" s="40"/>
      <c r="AL30" s="321">
        <f t="shared" si="5"/>
        <v>0</v>
      </c>
      <c r="AM30" s="40"/>
      <c r="AN30" s="321">
        <f t="shared" si="6"/>
        <v>0</v>
      </c>
      <c r="AO30" s="40"/>
      <c r="AP30" s="321">
        <f t="shared" si="7"/>
        <v>0</v>
      </c>
      <c r="AR30" s="321">
        <f t="shared" si="8"/>
        <v>0</v>
      </c>
      <c r="AS30" s="40"/>
      <c r="AT30" s="321">
        <f t="shared" si="9"/>
        <v>0</v>
      </c>
      <c r="AU30" s="40"/>
      <c r="AV30" s="321">
        <f t="shared" si="10"/>
        <v>0</v>
      </c>
      <c r="AW30" s="40"/>
      <c r="AX30" s="321">
        <f t="shared" si="11"/>
        <v>0</v>
      </c>
      <c r="AY30" s="74"/>
      <c r="AZ30" s="321">
        <f>AF30+AH30+AJ30+AL30+AN30+AP30+AR30+AT30+AV30+AX30</f>
        <v>0</v>
      </c>
      <c r="BA30" s="384" t="s">
        <v>252</v>
      </c>
      <c r="BC30" s="388"/>
      <c r="BD30" s="389">
        <v>12</v>
      </c>
      <c r="BE30" s="112" t="s">
        <v>84</v>
      </c>
      <c r="BF30" s="113">
        <v>0</v>
      </c>
      <c r="BG30" s="114">
        <v>0</v>
      </c>
      <c r="BH30" s="76">
        <f>BF30*BG30</f>
        <v>0</v>
      </c>
      <c r="BI30" s="50"/>
      <c r="BJ30" s="113">
        <f>IF($BD$15=1,0,BF30)</f>
        <v>0</v>
      </c>
      <c r="BK30" s="114">
        <f>IF($BD$15=1,0,BG30)</f>
        <v>0</v>
      </c>
      <c r="BL30" s="76">
        <f>BJ30*BK30</f>
        <v>0</v>
      </c>
      <c r="BM30" s="50"/>
      <c r="BN30" s="113">
        <f>IF($BD$15=2,0,BJ30)</f>
        <v>0</v>
      </c>
      <c r="BO30" s="114">
        <f>IF($BD$15=2,0,BK30)</f>
        <v>0</v>
      </c>
      <c r="BP30" s="76">
        <f>BN30*BO30</f>
        <v>0</v>
      </c>
      <c r="BQ30" s="50"/>
      <c r="BR30" s="113">
        <f>IF($BD$15=3,0,BN30)</f>
        <v>0</v>
      </c>
      <c r="BS30" s="114">
        <f>IF($BD$15=3,0,BO30)</f>
        <v>0</v>
      </c>
      <c r="BT30" s="76">
        <f>BR30*BS30</f>
        <v>0</v>
      </c>
      <c r="BU30" s="50"/>
      <c r="BV30" s="113">
        <f>IF($BD$15=4,0,BR30)</f>
        <v>0</v>
      </c>
      <c r="BW30" s="114">
        <f>IF($BD$15=4,0,BS30)</f>
        <v>0</v>
      </c>
      <c r="BX30" s="76">
        <f>BV30*BW30</f>
        <v>0</v>
      </c>
      <c r="BY30" s="115"/>
      <c r="BZ30" s="113">
        <f t="shared" si="23"/>
        <v>0</v>
      </c>
      <c r="CA30" s="114">
        <f t="shared" si="12"/>
        <v>0</v>
      </c>
      <c r="CB30" s="76">
        <f>BZ30*CA30</f>
        <v>0</v>
      </c>
      <c r="CC30" s="50"/>
      <c r="CD30" s="113">
        <f t="shared" si="13"/>
        <v>0</v>
      </c>
      <c r="CE30" s="114">
        <f t="shared" si="14"/>
        <v>0</v>
      </c>
      <c r="CF30" s="76">
        <f>CD30*CE30</f>
        <v>0</v>
      </c>
      <c r="CG30" s="50"/>
      <c r="CH30" s="113">
        <f t="shared" si="15"/>
        <v>0</v>
      </c>
      <c r="CI30" s="114">
        <f t="shared" si="16"/>
        <v>0</v>
      </c>
      <c r="CJ30" s="76">
        <f>CH30*CI30</f>
        <v>0</v>
      </c>
      <c r="CK30" s="50"/>
      <c r="CL30" s="113">
        <f t="shared" si="17"/>
        <v>0</v>
      </c>
      <c r="CM30" s="114">
        <f t="shared" si="18"/>
        <v>0</v>
      </c>
      <c r="CN30" s="76">
        <f>CL30*CM30</f>
        <v>0</v>
      </c>
      <c r="CO30" s="50"/>
      <c r="CP30" s="113">
        <f t="shared" si="19"/>
        <v>0</v>
      </c>
      <c r="CQ30" s="114">
        <f t="shared" si="20"/>
        <v>0</v>
      </c>
      <c r="CR30" s="76">
        <f>CP30*CQ30</f>
        <v>0</v>
      </c>
      <c r="CS30" s="115">
        <f t="shared" si="21"/>
        <v>0</v>
      </c>
    </row>
    <row r="31" spans="1:97" ht="16.5" customHeight="1" x14ac:dyDescent="0.25">
      <c r="A31" s="32"/>
      <c r="B31" s="10"/>
      <c r="C31" s="73" t="s">
        <v>88</v>
      </c>
      <c r="H31" s="54"/>
      <c r="I31" s="9"/>
      <c r="M31" s="40"/>
      <c r="N31" s="40"/>
      <c r="O31" s="40"/>
      <c r="P31" s="40"/>
      <c r="Q31" s="40"/>
      <c r="R31" s="40"/>
      <c r="S31" s="40"/>
      <c r="W31" s="40"/>
      <c r="X31" s="74"/>
      <c r="Y31" s="40"/>
      <c r="Z31" s="74"/>
      <c r="AA31" s="40"/>
      <c r="AB31" s="74"/>
      <c r="AC31" s="40"/>
      <c r="AD31" s="74"/>
      <c r="AE31" s="74"/>
      <c r="AI31" s="40"/>
      <c r="AJ31" s="321"/>
      <c r="AK31" s="40"/>
      <c r="AL31" s="321"/>
      <c r="AM31" s="40"/>
      <c r="AN31" s="321"/>
      <c r="AO31" s="40"/>
      <c r="AS31" s="40"/>
      <c r="AT31" s="321"/>
      <c r="AU31" s="40"/>
      <c r="AV31" s="321"/>
      <c r="AW31" s="40"/>
      <c r="AX31" s="321"/>
      <c r="AY31" s="40"/>
      <c r="AZ31" s="321"/>
      <c r="BC31" s="110"/>
      <c r="BD31" s="111"/>
      <c r="BE31" s="116"/>
      <c r="BF31" s="113"/>
      <c r="BG31" s="114"/>
      <c r="BH31" s="76"/>
      <c r="BI31" s="50"/>
      <c r="BJ31" s="113"/>
      <c r="BK31" s="114"/>
      <c r="BL31" s="76"/>
      <c r="BM31" s="50"/>
      <c r="BN31" s="113"/>
      <c r="BO31" s="114"/>
      <c r="BP31" s="76"/>
      <c r="BQ31" s="50"/>
      <c r="BR31" s="113"/>
      <c r="BS31" s="114"/>
      <c r="BT31" s="76"/>
      <c r="BU31" s="50"/>
      <c r="BV31" s="113"/>
      <c r="BW31" s="114"/>
      <c r="BX31" s="76"/>
      <c r="BY31" s="115"/>
      <c r="BZ31" s="113"/>
      <c r="CA31" s="114"/>
      <c r="CB31" s="76"/>
      <c r="CC31" s="50"/>
      <c r="CD31" s="113"/>
      <c r="CE31" s="114"/>
      <c r="CF31" s="76"/>
      <c r="CG31" s="50"/>
      <c r="CH31" s="113"/>
      <c r="CI31" s="114"/>
      <c r="CJ31" s="76"/>
      <c r="CK31" s="50"/>
      <c r="CL31" s="113"/>
      <c r="CM31" s="114"/>
      <c r="CN31" s="76"/>
      <c r="CO31" s="50"/>
      <c r="CP31" s="113"/>
      <c r="CQ31" s="114"/>
      <c r="CR31" s="76"/>
      <c r="CS31" s="115"/>
    </row>
    <row r="32" spans="1:97" ht="16.5" customHeight="1" x14ac:dyDescent="0.25">
      <c r="A32" s="32" t="s">
        <v>246</v>
      </c>
      <c r="B32" s="10"/>
      <c r="D32" s="53" t="str">
        <f>((BF32*100)&amp;"%"&amp;" time, "&amp;BG32&amp;" months, "&amp;BE32)</f>
        <v>0% time, 12 months, CY</v>
      </c>
      <c r="E32" s="53"/>
      <c r="H32" s="54"/>
      <c r="I32" s="9"/>
      <c r="J32" s="74">
        <f>IF(BH32=0,0,($BC32/$BD32*BH32))</f>
        <v>0</v>
      </c>
      <c r="L32" s="74">
        <f>IF(BL32=0,0,($BC32*(1+$BD$7)/$BD32*BL32))</f>
        <v>0</v>
      </c>
      <c r="M32" s="40"/>
      <c r="N32" s="74">
        <f>IF(BP32=0,0,($BC32*(1+$BD$7)^2/$BD32*BP32))</f>
        <v>0</v>
      </c>
      <c r="O32" s="40"/>
      <c r="P32" s="74">
        <f>IF(BT32=0,0,($BC32*(1+$BD$7)^3/$BD32*BT32))</f>
        <v>0</v>
      </c>
      <c r="Q32" s="40"/>
      <c r="R32" s="74">
        <f>IF(BX32=0,0,($BC32*(1+$BD$7)^4/$BD32*BX32))</f>
        <v>0</v>
      </c>
      <c r="S32" s="40"/>
      <c r="T32" s="74">
        <f>IF(CB32=0,0,($BC32*(1+$BD$7)^5/$BD32*CB32))</f>
        <v>0</v>
      </c>
      <c r="V32" s="74">
        <f>IF(CF32=0,0,($BC32*(1+$BD$7)^6/$BD32*CF32))</f>
        <v>0</v>
      </c>
      <c r="W32" s="40"/>
      <c r="X32" s="74">
        <f t="shared" ref="X32:X46" si="24">IF(CJ32=0,0,($BC32*(1+$BD$7)^7/$BD32*CJ32))</f>
        <v>0</v>
      </c>
      <c r="Y32" s="40"/>
      <c r="Z32" s="74">
        <f t="shared" ref="Z32:Z46" si="25">IF(CN32=0,0,($BC32*(1+$BD$7)^8/$BD32*CN32))</f>
        <v>0</v>
      </c>
      <c r="AA32" s="40"/>
      <c r="AB32" s="74">
        <f t="shared" ref="AB32:AB46" si="26">IF(CR32=0,0,($BC32*(1+$BD$7)^9/$BD32*CR32))</f>
        <v>0</v>
      </c>
      <c r="AC32" s="74"/>
      <c r="AD32" s="74">
        <f>J32+L32+N32+P32+R32+T32+V32+X32+Z32+AB32</f>
        <v>0</v>
      </c>
      <c r="AE32" s="74"/>
      <c r="AF32" s="321">
        <f t="shared" si="22"/>
        <v>0</v>
      </c>
      <c r="AH32" s="321">
        <f t="shared" si="0"/>
        <v>0</v>
      </c>
      <c r="AI32" s="40"/>
      <c r="AJ32" s="321">
        <f t="shared" si="4"/>
        <v>0</v>
      </c>
      <c r="AK32" s="40"/>
      <c r="AL32" s="321">
        <f t="shared" si="5"/>
        <v>0</v>
      </c>
      <c r="AM32" s="40"/>
      <c r="AN32" s="321">
        <f t="shared" si="6"/>
        <v>0</v>
      </c>
      <c r="AO32" s="40"/>
      <c r="AP32" s="321">
        <f t="shared" si="7"/>
        <v>0</v>
      </c>
      <c r="AR32" s="321">
        <f t="shared" si="8"/>
        <v>0</v>
      </c>
      <c r="AS32" s="40"/>
      <c r="AT32" s="321">
        <f t="shared" si="9"/>
        <v>0</v>
      </c>
      <c r="AU32" s="40"/>
      <c r="AV32" s="321">
        <f t="shared" si="10"/>
        <v>0</v>
      </c>
      <c r="AW32" s="40"/>
      <c r="AX32" s="321">
        <f t="shared" si="11"/>
        <v>0</v>
      </c>
      <c r="AY32" s="74"/>
      <c r="AZ32" s="321">
        <f>AF32+AH32+AJ32+AL32+AN32+AP32+AR32+AT32+AV32+AX32</f>
        <v>0</v>
      </c>
      <c r="BA32" s="40"/>
      <c r="BC32" s="110"/>
      <c r="BD32" s="111">
        <v>12</v>
      </c>
      <c r="BE32" s="116" t="s">
        <v>82</v>
      </c>
      <c r="BF32" s="113">
        <v>0</v>
      </c>
      <c r="BG32" s="114">
        <v>12</v>
      </c>
      <c r="BH32" s="76">
        <f>BF32*BG32</f>
        <v>0</v>
      </c>
      <c r="BI32" s="50"/>
      <c r="BJ32" s="113">
        <f>IF($BD$15=1,0,BF32)</f>
        <v>0</v>
      </c>
      <c r="BK32" s="114">
        <f>IF($BD$15=1,0,BG32)</f>
        <v>12</v>
      </c>
      <c r="BL32" s="76">
        <f>BJ32*BK32</f>
        <v>0</v>
      </c>
      <c r="BM32" s="50"/>
      <c r="BN32" s="113">
        <f>IF($BD$15=2,0,BJ32)</f>
        <v>0</v>
      </c>
      <c r="BO32" s="114">
        <f>IF($BD$15=2,0,BK32)</f>
        <v>12</v>
      </c>
      <c r="BP32" s="76">
        <f>BN32*BO32</f>
        <v>0</v>
      </c>
      <c r="BQ32" s="50"/>
      <c r="BR32" s="113">
        <f>IF($BD$15=3,0,BN32)</f>
        <v>0</v>
      </c>
      <c r="BS32" s="114">
        <f>IF($BD$15=3,0,BO32)</f>
        <v>12</v>
      </c>
      <c r="BT32" s="76">
        <f>BR32*BS32</f>
        <v>0</v>
      </c>
      <c r="BU32" s="50"/>
      <c r="BV32" s="113">
        <f>IF($BD$15=4,0,BR32)</f>
        <v>0</v>
      </c>
      <c r="BW32" s="114">
        <f>IF($BD$15=4,0,BS32)</f>
        <v>12</v>
      </c>
      <c r="BX32" s="76">
        <f>BV32*BW32</f>
        <v>0</v>
      </c>
      <c r="BY32" s="115"/>
      <c r="BZ32" s="113">
        <f t="shared" si="23"/>
        <v>0</v>
      </c>
      <c r="CA32" s="114">
        <f t="shared" si="12"/>
        <v>0</v>
      </c>
      <c r="CB32" s="76">
        <f>BZ32*CA32</f>
        <v>0</v>
      </c>
      <c r="CC32" s="50"/>
      <c r="CD32" s="113">
        <f t="shared" si="13"/>
        <v>0</v>
      </c>
      <c r="CE32" s="114">
        <f>IF($BD$15=6,0,CA32)</f>
        <v>0</v>
      </c>
      <c r="CF32" s="76">
        <f>CD32*CE32</f>
        <v>0</v>
      </c>
      <c r="CG32" s="50"/>
      <c r="CH32" s="113">
        <f t="shared" si="15"/>
        <v>0</v>
      </c>
      <c r="CI32" s="114">
        <f t="shared" si="16"/>
        <v>0</v>
      </c>
      <c r="CJ32" s="76">
        <f>CH32*CI32</f>
        <v>0</v>
      </c>
      <c r="CK32" s="50"/>
      <c r="CL32" s="113">
        <f t="shared" si="17"/>
        <v>0</v>
      </c>
      <c r="CM32" s="114">
        <f t="shared" si="18"/>
        <v>0</v>
      </c>
      <c r="CN32" s="76">
        <f>CL32*CM32</f>
        <v>0</v>
      </c>
      <c r="CO32" s="50"/>
      <c r="CP32" s="113">
        <f t="shared" si="19"/>
        <v>0</v>
      </c>
      <c r="CQ32" s="114">
        <f t="shared" si="20"/>
        <v>0</v>
      </c>
      <c r="CR32" s="76">
        <f>CP32*CQ32</f>
        <v>0</v>
      </c>
      <c r="CS32" s="115">
        <f t="shared" si="21"/>
        <v>0</v>
      </c>
    </row>
    <row r="33" spans="1:97" ht="16.5" customHeight="1" x14ac:dyDescent="0.25">
      <c r="A33" s="32"/>
      <c r="B33" s="10"/>
      <c r="C33" s="73" t="s">
        <v>88</v>
      </c>
      <c r="H33" s="54"/>
      <c r="I33" s="9"/>
      <c r="M33" s="40"/>
      <c r="N33" s="40"/>
      <c r="O33" s="40"/>
      <c r="P33" s="40"/>
      <c r="Q33" s="40"/>
      <c r="R33" s="40"/>
      <c r="S33" s="40"/>
      <c r="W33" s="40"/>
      <c r="X33" s="74"/>
      <c r="Y33" s="40"/>
      <c r="Z33" s="74"/>
      <c r="AA33" s="40"/>
      <c r="AB33" s="74"/>
      <c r="AC33" s="40"/>
      <c r="AD33" s="74"/>
      <c r="AE33" s="74"/>
      <c r="AI33" s="40"/>
      <c r="AJ33" s="321"/>
      <c r="AK33" s="40"/>
      <c r="AL33" s="321"/>
      <c r="AM33" s="40"/>
      <c r="AN33" s="321"/>
      <c r="AO33" s="40"/>
      <c r="AS33" s="40"/>
      <c r="AT33" s="321"/>
      <c r="AU33" s="40"/>
      <c r="AV33" s="321"/>
      <c r="AW33" s="40"/>
      <c r="AX33" s="321"/>
      <c r="AY33" s="40"/>
      <c r="AZ33" s="321"/>
      <c r="BC33" s="110"/>
      <c r="BD33" s="111"/>
      <c r="BE33" s="116"/>
      <c r="BF33" s="113"/>
      <c r="BG33" s="114"/>
      <c r="BH33" s="76"/>
      <c r="BI33" s="50"/>
      <c r="BJ33" s="113"/>
      <c r="BK33" s="114"/>
      <c r="BL33" s="76"/>
      <c r="BM33" s="50"/>
      <c r="BN33" s="113"/>
      <c r="BO33" s="114"/>
      <c r="BP33" s="76"/>
      <c r="BQ33" s="50"/>
      <c r="BR33" s="113"/>
      <c r="BS33" s="114"/>
      <c r="BT33" s="76"/>
      <c r="BU33" s="50"/>
      <c r="BV33" s="113"/>
      <c r="BW33" s="114"/>
      <c r="BX33" s="76"/>
      <c r="BY33" s="115"/>
      <c r="BZ33" s="113"/>
      <c r="CA33" s="114"/>
      <c r="CB33" s="76"/>
      <c r="CC33" s="50"/>
      <c r="CD33" s="113"/>
      <c r="CE33" s="114"/>
      <c r="CF33" s="76"/>
      <c r="CG33" s="50"/>
      <c r="CH33" s="113"/>
      <c r="CI33" s="114"/>
      <c r="CJ33" s="76"/>
      <c r="CK33" s="50"/>
      <c r="CL33" s="113"/>
      <c r="CM33" s="114"/>
      <c r="CN33" s="76"/>
      <c r="CO33" s="50"/>
      <c r="CP33" s="113"/>
      <c r="CQ33" s="114"/>
      <c r="CR33" s="76"/>
      <c r="CS33" s="115"/>
    </row>
    <row r="34" spans="1:97" ht="16.5" customHeight="1" x14ac:dyDescent="0.25">
      <c r="A34" s="32" t="s">
        <v>246</v>
      </c>
      <c r="B34" s="10"/>
      <c r="D34" s="53" t="str">
        <f>((BF34*100)&amp;"%"&amp;" time, "&amp;BG34&amp;" months, "&amp;BE34)</f>
        <v>0% time, 12 months, CY</v>
      </c>
      <c r="E34" s="53"/>
      <c r="H34" s="54"/>
      <c r="I34" s="9"/>
      <c r="J34" s="74">
        <f>IF(BH34=0,0,($BC34/$BD34*BH34))</f>
        <v>0</v>
      </c>
      <c r="L34" s="74">
        <f>IF(BL34=0,0,($BC34*(1+$BD$7)/$BD34*BL34))</f>
        <v>0</v>
      </c>
      <c r="M34" s="40"/>
      <c r="N34" s="74">
        <f>IF(BP34=0,0,($BC34*(1+$BD$7)^2/$BD34*BP34))</f>
        <v>0</v>
      </c>
      <c r="O34" s="40"/>
      <c r="P34" s="74">
        <f>IF(BT34=0,0,($BC34*(1+$BD$7)^3/$BD34*BT34))</f>
        <v>0</v>
      </c>
      <c r="Q34" s="40"/>
      <c r="R34" s="74">
        <f>IF(BX34=0,0,($BC34*(1+$BD$7)^4/$BD34*BX34))</f>
        <v>0</v>
      </c>
      <c r="S34" s="40"/>
      <c r="T34" s="74">
        <f>IF(CB34=0,0,($BC34*(1+$BD$7)^5/$BD34*CB34))</f>
        <v>0</v>
      </c>
      <c r="V34" s="74">
        <f>IF(CF34=0,0,($BC34*(1+$BD$7)^6/$BD34*CF34))</f>
        <v>0</v>
      </c>
      <c r="W34" s="40"/>
      <c r="X34" s="74">
        <f t="shared" si="24"/>
        <v>0</v>
      </c>
      <c r="Y34" s="40"/>
      <c r="Z34" s="74">
        <f t="shared" si="25"/>
        <v>0</v>
      </c>
      <c r="AA34" s="40"/>
      <c r="AB34" s="74">
        <f t="shared" si="26"/>
        <v>0</v>
      </c>
      <c r="AC34" s="74"/>
      <c r="AD34" s="74">
        <f>J34+L34+N34+P34+R34+T34+V34+X34+Z34+AB34</f>
        <v>0</v>
      </c>
      <c r="AE34" s="74"/>
      <c r="AF34" s="321">
        <f t="shared" si="22"/>
        <v>0</v>
      </c>
      <c r="AH34" s="321">
        <f t="shared" si="0"/>
        <v>0</v>
      </c>
      <c r="AI34" s="40"/>
      <c r="AJ34" s="321">
        <f t="shared" si="4"/>
        <v>0</v>
      </c>
      <c r="AK34" s="40"/>
      <c r="AL34" s="321">
        <f t="shared" si="5"/>
        <v>0</v>
      </c>
      <c r="AM34" s="40"/>
      <c r="AN34" s="321">
        <f t="shared" si="6"/>
        <v>0</v>
      </c>
      <c r="AO34" s="40"/>
      <c r="AP34" s="321">
        <f t="shared" si="7"/>
        <v>0</v>
      </c>
      <c r="AR34" s="321">
        <f t="shared" si="8"/>
        <v>0</v>
      </c>
      <c r="AS34" s="40"/>
      <c r="AT34" s="321">
        <f t="shared" si="9"/>
        <v>0</v>
      </c>
      <c r="AU34" s="40"/>
      <c r="AV34" s="321">
        <f t="shared" si="10"/>
        <v>0</v>
      </c>
      <c r="AW34" s="40"/>
      <c r="AX34" s="321">
        <f t="shared" si="11"/>
        <v>0</v>
      </c>
      <c r="AY34" s="74"/>
      <c r="AZ34" s="321">
        <f>AF34+AH34+AJ34+AL34+AN34+AP34+AR34+AT34+AV34+AX34</f>
        <v>0</v>
      </c>
      <c r="BC34" s="110"/>
      <c r="BD34" s="111">
        <v>12</v>
      </c>
      <c r="BE34" s="116" t="s">
        <v>82</v>
      </c>
      <c r="BF34" s="113">
        <v>0</v>
      </c>
      <c r="BG34" s="114">
        <v>12</v>
      </c>
      <c r="BH34" s="76">
        <f>BF34*BG34</f>
        <v>0</v>
      </c>
      <c r="BI34" s="50"/>
      <c r="BJ34" s="113">
        <f>IF($BD$15=1,0,BF34)</f>
        <v>0</v>
      </c>
      <c r="BK34" s="114">
        <f>IF($BD$15=1,0,BG34)</f>
        <v>12</v>
      </c>
      <c r="BL34" s="76">
        <f>BJ34*BK34</f>
        <v>0</v>
      </c>
      <c r="BM34" s="50"/>
      <c r="BN34" s="113">
        <f>IF($BD$15=2,0,BJ34)</f>
        <v>0</v>
      </c>
      <c r="BO34" s="114">
        <f>IF($BD$15=2,0,BK34)</f>
        <v>12</v>
      </c>
      <c r="BP34" s="76">
        <f>BN34*BO34</f>
        <v>0</v>
      </c>
      <c r="BQ34" s="50"/>
      <c r="BR34" s="113">
        <f>IF($BD$15=3,0,BN34)</f>
        <v>0</v>
      </c>
      <c r="BS34" s="114">
        <f>IF($BD$15=3,0,BO34)</f>
        <v>12</v>
      </c>
      <c r="BT34" s="76">
        <f>BR34*BS34</f>
        <v>0</v>
      </c>
      <c r="BU34" s="50"/>
      <c r="BV34" s="113">
        <f>IF($BD$15=4,0,BR34)</f>
        <v>0</v>
      </c>
      <c r="BW34" s="114">
        <f>IF($BD$15=4,0,BS34)</f>
        <v>12</v>
      </c>
      <c r="BX34" s="76">
        <f>BV34*BW34</f>
        <v>0</v>
      </c>
      <c r="BY34" s="115"/>
      <c r="BZ34" s="113">
        <f t="shared" si="23"/>
        <v>0</v>
      </c>
      <c r="CA34" s="114">
        <f t="shared" si="12"/>
        <v>0</v>
      </c>
      <c r="CB34" s="76">
        <f>BZ34*CA34</f>
        <v>0</v>
      </c>
      <c r="CC34" s="50"/>
      <c r="CD34" s="113">
        <f t="shared" si="13"/>
        <v>0</v>
      </c>
      <c r="CE34" s="114">
        <f>IF($BD$15=6,0,CA34)</f>
        <v>0</v>
      </c>
      <c r="CF34" s="76">
        <f>CD34*CE34</f>
        <v>0</v>
      </c>
      <c r="CG34" s="50"/>
      <c r="CH34" s="113">
        <f t="shared" si="15"/>
        <v>0</v>
      </c>
      <c r="CI34" s="114">
        <f t="shared" si="16"/>
        <v>0</v>
      </c>
      <c r="CJ34" s="76">
        <f>CH34*CI34</f>
        <v>0</v>
      </c>
      <c r="CK34" s="50"/>
      <c r="CL34" s="113">
        <f t="shared" si="17"/>
        <v>0</v>
      </c>
      <c r="CM34" s="114">
        <f t="shared" si="18"/>
        <v>0</v>
      </c>
      <c r="CN34" s="76">
        <f>CL34*CM34</f>
        <v>0</v>
      </c>
      <c r="CO34" s="50"/>
      <c r="CP34" s="113">
        <f t="shared" si="19"/>
        <v>0</v>
      </c>
      <c r="CQ34" s="114">
        <f t="shared" si="20"/>
        <v>0</v>
      </c>
      <c r="CR34" s="76">
        <f>CP34*CQ34</f>
        <v>0</v>
      </c>
      <c r="CS34" s="115">
        <f t="shared" si="21"/>
        <v>0</v>
      </c>
    </row>
    <row r="35" spans="1:97" ht="16.5" customHeight="1" x14ac:dyDescent="0.25">
      <c r="A35" s="32"/>
      <c r="B35" s="10"/>
      <c r="C35" s="73" t="s">
        <v>88</v>
      </c>
      <c r="H35" s="54"/>
      <c r="I35" s="9"/>
      <c r="M35" s="40"/>
      <c r="N35" s="40"/>
      <c r="O35" s="40"/>
      <c r="P35" s="40"/>
      <c r="Q35" s="40"/>
      <c r="R35" s="40"/>
      <c r="S35" s="40"/>
      <c r="W35" s="40"/>
      <c r="X35" s="74"/>
      <c r="Y35" s="40"/>
      <c r="Z35" s="74"/>
      <c r="AA35" s="40"/>
      <c r="AB35" s="74"/>
      <c r="AC35" s="40"/>
      <c r="AD35" s="74"/>
      <c r="AE35" s="74"/>
      <c r="AI35" s="40"/>
      <c r="AJ35" s="321"/>
      <c r="AK35" s="40"/>
      <c r="AL35" s="321"/>
      <c r="AM35" s="40"/>
      <c r="AN35" s="321"/>
      <c r="AO35" s="40"/>
      <c r="AS35" s="40"/>
      <c r="AT35" s="321"/>
      <c r="AU35" s="40"/>
      <c r="AV35" s="321"/>
      <c r="AW35" s="40"/>
      <c r="AX35" s="321"/>
      <c r="AY35" s="40"/>
      <c r="AZ35" s="321"/>
      <c r="BC35" s="110"/>
      <c r="BD35" s="111"/>
      <c r="BE35" s="116"/>
      <c r="BF35" s="113"/>
      <c r="BG35" s="114"/>
      <c r="BH35" s="76"/>
      <c r="BI35" s="50"/>
      <c r="BJ35" s="113"/>
      <c r="BK35" s="114"/>
      <c r="BL35" s="76"/>
      <c r="BM35" s="50"/>
      <c r="BN35" s="113"/>
      <c r="BO35" s="114"/>
      <c r="BP35" s="76"/>
      <c r="BQ35" s="50"/>
      <c r="BR35" s="113"/>
      <c r="BS35" s="114"/>
      <c r="BT35" s="76"/>
      <c r="BU35" s="50"/>
      <c r="BV35" s="113"/>
      <c r="BW35" s="114"/>
      <c r="BX35" s="76"/>
      <c r="BY35" s="115"/>
      <c r="BZ35" s="113"/>
      <c r="CA35" s="114"/>
      <c r="CB35" s="76"/>
      <c r="CC35" s="50"/>
      <c r="CD35" s="113"/>
      <c r="CE35" s="114"/>
      <c r="CF35" s="76"/>
      <c r="CG35" s="50"/>
      <c r="CH35" s="113"/>
      <c r="CI35" s="114"/>
      <c r="CJ35" s="76"/>
      <c r="CK35" s="50"/>
      <c r="CL35" s="113"/>
      <c r="CM35" s="114"/>
      <c r="CN35" s="76"/>
      <c r="CO35" s="50"/>
      <c r="CP35" s="113"/>
      <c r="CQ35" s="114"/>
      <c r="CR35" s="76"/>
      <c r="CS35" s="115"/>
    </row>
    <row r="36" spans="1:97" ht="16.5" customHeight="1" x14ac:dyDescent="0.25">
      <c r="A36" s="32" t="s">
        <v>246</v>
      </c>
      <c r="B36" s="10"/>
      <c r="D36" s="53" t="str">
        <f>((BF36*100)&amp;"%"&amp;" time, "&amp;BG36&amp;" months, "&amp;BE36)</f>
        <v>0% time, 12 months, CY</v>
      </c>
      <c r="E36" s="53"/>
      <c r="H36" s="54"/>
      <c r="I36" s="9"/>
      <c r="J36" s="74">
        <f>IF(BH36=0,0,($BC36/$BD36*BH36))</f>
        <v>0</v>
      </c>
      <c r="L36" s="74">
        <f>IF(BL36=0,0,($BC36*(1+$BD$7)/$BD36*BL36))</f>
        <v>0</v>
      </c>
      <c r="M36" s="40"/>
      <c r="N36" s="74">
        <f>IF(BP36=0,0,($BC36*(1+$BD$7)^2/$BD36*BP36))</f>
        <v>0</v>
      </c>
      <c r="O36" s="40"/>
      <c r="P36" s="74">
        <f>IF(BT36=0,0,($BC36*(1+$BD$7)^3/$BD36*BT36))</f>
        <v>0</v>
      </c>
      <c r="Q36" s="40"/>
      <c r="R36" s="74">
        <f>IF(BX36=0,0,($BC36*(1+$BD$7)^4/$BD36*BX36))</f>
        <v>0</v>
      </c>
      <c r="S36" s="40"/>
      <c r="T36" s="74">
        <f>IF(CB36=0,0,($BC36*(1+$BD$7)^5/$BD36*CB36))</f>
        <v>0</v>
      </c>
      <c r="V36" s="74">
        <f>IF(CF36=0,0,($BC36*(1+$BD$7)^6/$BD36*CF36))</f>
        <v>0</v>
      </c>
      <c r="W36" s="40"/>
      <c r="X36" s="74">
        <f t="shared" si="24"/>
        <v>0</v>
      </c>
      <c r="Y36" s="40"/>
      <c r="Z36" s="74">
        <f t="shared" si="25"/>
        <v>0</v>
      </c>
      <c r="AA36" s="40"/>
      <c r="AB36" s="74">
        <f t="shared" si="26"/>
        <v>0</v>
      </c>
      <c r="AC36" s="74"/>
      <c r="AD36" s="74">
        <f>J36+L36+N36+P36+R36+T36+V36+X36+Z36+AB36</f>
        <v>0</v>
      </c>
      <c r="AE36" s="74"/>
      <c r="AF36" s="321">
        <f t="shared" si="22"/>
        <v>0</v>
      </c>
      <c r="AH36" s="321">
        <f t="shared" si="0"/>
        <v>0</v>
      </c>
      <c r="AI36" s="40"/>
      <c r="AJ36" s="321">
        <f t="shared" si="4"/>
        <v>0</v>
      </c>
      <c r="AK36" s="40"/>
      <c r="AL36" s="321">
        <f t="shared" si="5"/>
        <v>0</v>
      </c>
      <c r="AM36" s="40"/>
      <c r="AN36" s="321">
        <f t="shared" si="6"/>
        <v>0</v>
      </c>
      <c r="AO36" s="40"/>
      <c r="AP36" s="321">
        <f t="shared" si="7"/>
        <v>0</v>
      </c>
      <c r="AR36" s="321">
        <f t="shared" si="8"/>
        <v>0</v>
      </c>
      <c r="AS36" s="40"/>
      <c r="AT36" s="321">
        <f t="shared" si="9"/>
        <v>0</v>
      </c>
      <c r="AU36" s="40"/>
      <c r="AV36" s="321">
        <f t="shared" si="10"/>
        <v>0</v>
      </c>
      <c r="AW36" s="40"/>
      <c r="AX36" s="321">
        <f t="shared" si="11"/>
        <v>0</v>
      </c>
      <c r="AY36" s="74"/>
      <c r="AZ36" s="321">
        <f>AF36+AH36+AJ36+AL36+AN36+AP36+AR36+AT36+AV36+AX36</f>
        <v>0</v>
      </c>
      <c r="BC36" s="110"/>
      <c r="BD36" s="111">
        <v>12</v>
      </c>
      <c r="BE36" s="116" t="s">
        <v>82</v>
      </c>
      <c r="BF36" s="113">
        <v>0</v>
      </c>
      <c r="BG36" s="114">
        <v>12</v>
      </c>
      <c r="BH36" s="76">
        <f>BF36*BG36</f>
        <v>0</v>
      </c>
      <c r="BI36" s="50"/>
      <c r="BJ36" s="113">
        <f>IF($BD$15=1,0,BF36)</f>
        <v>0</v>
      </c>
      <c r="BK36" s="114">
        <f>IF($BD$15=1,0,BG36)</f>
        <v>12</v>
      </c>
      <c r="BL36" s="76">
        <f>BJ36*BK36</f>
        <v>0</v>
      </c>
      <c r="BM36" s="50"/>
      <c r="BN36" s="113">
        <f>IF($BD$15=2,0,BJ36)</f>
        <v>0</v>
      </c>
      <c r="BO36" s="114">
        <f>IF($BD$15=2,0,BK36)</f>
        <v>12</v>
      </c>
      <c r="BP36" s="76">
        <f>BN36*BO36</f>
        <v>0</v>
      </c>
      <c r="BQ36" s="50"/>
      <c r="BR36" s="113">
        <f>IF($BD$15=3,0,BN36)</f>
        <v>0</v>
      </c>
      <c r="BS36" s="114">
        <f>IF($BD$15=3,0,BO36)</f>
        <v>12</v>
      </c>
      <c r="BT36" s="76">
        <f>BR36*BS36</f>
        <v>0</v>
      </c>
      <c r="BU36" s="50"/>
      <c r="BV36" s="113">
        <f>IF($BD$15=4,0,BR36)</f>
        <v>0</v>
      </c>
      <c r="BW36" s="114">
        <f>IF($BD$15=4,0,BS36)</f>
        <v>12</v>
      </c>
      <c r="BX36" s="76">
        <f>BV36*BW36</f>
        <v>0</v>
      </c>
      <c r="BY36" s="115"/>
      <c r="BZ36" s="113">
        <f t="shared" si="23"/>
        <v>0</v>
      </c>
      <c r="CA36" s="114">
        <f t="shared" si="12"/>
        <v>0</v>
      </c>
      <c r="CB36" s="76">
        <f>BZ36*CA36</f>
        <v>0</v>
      </c>
      <c r="CC36" s="50"/>
      <c r="CD36" s="113">
        <f t="shared" si="13"/>
        <v>0</v>
      </c>
      <c r="CE36" s="114">
        <f t="shared" si="14"/>
        <v>0</v>
      </c>
      <c r="CF36" s="76">
        <f>CD36*CE36</f>
        <v>0</v>
      </c>
      <c r="CG36" s="50"/>
      <c r="CH36" s="113">
        <f t="shared" si="15"/>
        <v>0</v>
      </c>
      <c r="CI36" s="114">
        <f t="shared" si="16"/>
        <v>0</v>
      </c>
      <c r="CJ36" s="76">
        <f>CH36*CI36</f>
        <v>0</v>
      </c>
      <c r="CK36" s="50"/>
      <c r="CL36" s="113">
        <f t="shared" si="17"/>
        <v>0</v>
      </c>
      <c r="CM36" s="114">
        <f t="shared" si="18"/>
        <v>0</v>
      </c>
      <c r="CN36" s="76">
        <f>CL36*CM36</f>
        <v>0</v>
      </c>
      <c r="CO36" s="50"/>
      <c r="CP36" s="113">
        <f t="shared" si="19"/>
        <v>0</v>
      </c>
      <c r="CQ36" s="114">
        <f t="shared" si="20"/>
        <v>0</v>
      </c>
      <c r="CR36" s="76">
        <f>CP36*CQ36</f>
        <v>0</v>
      </c>
      <c r="CS36" s="115">
        <f t="shared" si="21"/>
        <v>0</v>
      </c>
    </row>
    <row r="37" spans="1:97" ht="16.5" customHeight="1" x14ac:dyDescent="0.25">
      <c r="A37" s="32"/>
      <c r="B37" s="10"/>
      <c r="C37" s="73" t="s">
        <v>377</v>
      </c>
      <c r="H37" s="54"/>
      <c r="I37" s="9"/>
      <c r="M37" s="40"/>
      <c r="N37" s="40"/>
      <c r="O37" s="40"/>
      <c r="P37" s="40"/>
      <c r="Q37" s="40"/>
      <c r="R37" s="40"/>
      <c r="S37" s="40"/>
      <c r="W37" s="40"/>
      <c r="X37" s="74"/>
      <c r="Y37" s="40"/>
      <c r="Z37" s="74"/>
      <c r="AA37" s="40"/>
      <c r="AB37" s="74"/>
      <c r="AC37" s="40"/>
      <c r="AD37" s="74"/>
      <c r="AE37" s="74"/>
      <c r="AI37" s="40"/>
      <c r="AJ37" s="321"/>
      <c r="AK37" s="40"/>
      <c r="AL37" s="321"/>
      <c r="AM37" s="40"/>
      <c r="AN37" s="321"/>
      <c r="AO37" s="40"/>
      <c r="AS37" s="40"/>
      <c r="AT37" s="321"/>
      <c r="AU37" s="40"/>
      <c r="AV37" s="321"/>
      <c r="AW37" s="40"/>
      <c r="AX37" s="321"/>
      <c r="AY37" s="40"/>
      <c r="AZ37" s="321"/>
      <c r="BC37" s="110"/>
      <c r="BD37" s="111"/>
      <c r="BE37" s="116"/>
      <c r="BF37" s="113"/>
      <c r="BG37" s="114"/>
      <c r="BH37" s="76"/>
      <c r="BI37" s="50"/>
      <c r="BJ37" s="113"/>
      <c r="BK37" s="114"/>
      <c r="BL37" s="76"/>
      <c r="BM37" s="50"/>
      <c r="BN37" s="113"/>
      <c r="BO37" s="114"/>
      <c r="BP37" s="76"/>
      <c r="BQ37" s="50"/>
      <c r="BR37" s="113"/>
      <c r="BS37" s="114"/>
      <c r="BT37" s="76"/>
      <c r="BU37" s="50"/>
      <c r="BV37" s="113"/>
      <c r="BW37" s="114"/>
      <c r="BX37" s="76"/>
      <c r="BY37" s="115"/>
      <c r="BZ37" s="113"/>
      <c r="CA37" s="114"/>
      <c r="CB37" s="76"/>
      <c r="CC37" s="50"/>
      <c r="CD37" s="113"/>
      <c r="CE37" s="114"/>
      <c r="CF37" s="76"/>
      <c r="CG37" s="50"/>
      <c r="CH37" s="113"/>
      <c r="CI37" s="114"/>
      <c r="CJ37" s="76"/>
      <c r="CK37" s="50"/>
      <c r="CL37" s="113"/>
      <c r="CM37" s="114"/>
      <c r="CN37" s="76"/>
      <c r="CO37" s="50"/>
      <c r="CP37" s="113"/>
      <c r="CQ37" s="114"/>
      <c r="CR37" s="76"/>
      <c r="CS37" s="115"/>
    </row>
    <row r="38" spans="1:97" ht="16.5" customHeight="1" x14ac:dyDescent="0.25">
      <c r="A38" s="32" t="s">
        <v>246</v>
      </c>
      <c r="B38" s="10"/>
      <c r="D38" s="53" t="str">
        <f>((BF38*100)&amp;"%"&amp;" time, "&amp;BG38&amp;" months, "&amp;BE38)</f>
        <v>0% time, 0 months, CY</v>
      </c>
      <c r="E38" s="53"/>
      <c r="H38" s="54"/>
      <c r="I38" s="9"/>
      <c r="J38" s="74">
        <f>IF(BH38=0,0,($BC38/$BD38*BH38))</f>
        <v>0</v>
      </c>
      <c r="L38" s="74">
        <f>IF(BL38=0,0,($BC38*(1+$BD$7)/$BD38*BL38))</f>
        <v>0</v>
      </c>
      <c r="M38" s="40"/>
      <c r="N38" s="74">
        <f>IF(BP38=0,0,($BC38*(1+$BD$7)^2/$BD38*BP38))</f>
        <v>0</v>
      </c>
      <c r="O38" s="40"/>
      <c r="P38" s="74">
        <f>IF(BT38=0,0,($BC38*(1+$BD$7)^3/$BD38*BT38))</f>
        <v>0</v>
      </c>
      <c r="Q38" s="40"/>
      <c r="R38" s="74">
        <f>IF(BX38=0,0,($BC38*(1+$BD$7)^4/$BD38*BX38))</f>
        <v>0</v>
      </c>
      <c r="S38" s="40"/>
      <c r="T38" s="74">
        <f>IF(CB38=0,0,($BC38*(1+$BD$7)^5/$BD38*CB38))</f>
        <v>0</v>
      </c>
      <c r="V38" s="74">
        <f>IF(CF38=0,0,($BC38*(1+$BD$7)^6/$BD38*CF38))</f>
        <v>0</v>
      </c>
      <c r="W38" s="40"/>
      <c r="X38" s="74">
        <f t="shared" si="24"/>
        <v>0</v>
      </c>
      <c r="Y38" s="40"/>
      <c r="Z38" s="74">
        <f t="shared" si="25"/>
        <v>0</v>
      </c>
      <c r="AA38" s="40"/>
      <c r="AB38" s="74">
        <f t="shared" si="26"/>
        <v>0</v>
      </c>
      <c r="AC38" s="74"/>
      <c r="AD38" s="74">
        <f>J38+L38+N38+P38+R38+T38+V38+X38+Z38+AB38</f>
        <v>0</v>
      </c>
      <c r="AE38" s="74"/>
      <c r="AF38" s="321">
        <f t="shared" si="22"/>
        <v>0</v>
      </c>
      <c r="AH38" s="321">
        <f t="shared" si="0"/>
        <v>0</v>
      </c>
      <c r="AI38" s="40"/>
      <c r="AJ38" s="321">
        <f t="shared" si="4"/>
        <v>0</v>
      </c>
      <c r="AK38" s="40"/>
      <c r="AL38" s="321">
        <f t="shared" si="5"/>
        <v>0</v>
      </c>
      <c r="AM38" s="40"/>
      <c r="AN38" s="321">
        <f t="shared" si="6"/>
        <v>0</v>
      </c>
      <c r="AO38" s="40"/>
      <c r="AP38" s="321">
        <f t="shared" si="7"/>
        <v>0</v>
      </c>
      <c r="AR38" s="321">
        <f t="shared" si="8"/>
        <v>0</v>
      </c>
      <c r="AS38" s="40"/>
      <c r="AT38" s="321">
        <f t="shared" si="9"/>
        <v>0</v>
      </c>
      <c r="AU38" s="40"/>
      <c r="AV38" s="321">
        <f t="shared" si="10"/>
        <v>0</v>
      </c>
      <c r="AW38" s="40"/>
      <c r="AX38" s="321">
        <f t="shared" si="11"/>
        <v>0</v>
      </c>
      <c r="AY38" s="74"/>
      <c r="AZ38" s="321">
        <f>AF38+AH38+AJ38+AL38+AN38+AP38+AR38+AT38+AV38+AX38</f>
        <v>0</v>
      </c>
      <c r="BC38" s="110"/>
      <c r="BD38" s="111">
        <v>12</v>
      </c>
      <c r="BE38" s="116" t="s">
        <v>82</v>
      </c>
      <c r="BF38" s="113">
        <v>0</v>
      </c>
      <c r="BG38" s="114">
        <v>0</v>
      </c>
      <c r="BH38" s="76">
        <f>BF38*BG38</f>
        <v>0</v>
      </c>
      <c r="BI38" s="50"/>
      <c r="BJ38" s="113">
        <f>IF($BD$15=1,0,BF38)</f>
        <v>0</v>
      </c>
      <c r="BK38" s="114">
        <f>IF($BD$15=1,0,BG38)</f>
        <v>0</v>
      </c>
      <c r="BL38" s="76">
        <f>BJ38*BK38</f>
        <v>0</v>
      </c>
      <c r="BM38" s="50"/>
      <c r="BN38" s="113">
        <f>IF($BD$15=2,0,BJ38)</f>
        <v>0</v>
      </c>
      <c r="BO38" s="114">
        <f>IF($BD$15=2,0,BK38)</f>
        <v>0</v>
      </c>
      <c r="BP38" s="76">
        <f>BN38*BO38</f>
        <v>0</v>
      </c>
      <c r="BQ38" s="50"/>
      <c r="BR38" s="113">
        <f>IF($BD$15=3,0,BN38)</f>
        <v>0</v>
      </c>
      <c r="BS38" s="114">
        <f>IF($BD$15=3,0,BO38)</f>
        <v>0</v>
      </c>
      <c r="BT38" s="76">
        <f>BR38*BS38</f>
        <v>0</v>
      </c>
      <c r="BU38" s="50"/>
      <c r="BV38" s="113">
        <f>IF($BD$15=4,0,BR38)</f>
        <v>0</v>
      </c>
      <c r="BW38" s="114">
        <f>IF($BD$15=4,0,BS38)</f>
        <v>0</v>
      </c>
      <c r="BX38" s="76">
        <f>BV38*BW38</f>
        <v>0</v>
      </c>
      <c r="BY38" s="115"/>
      <c r="BZ38" s="113">
        <f t="shared" si="23"/>
        <v>0</v>
      </c>
      <c r="CA38" s="114">
        <f t="shared" si="12"/>
        <v>0</v>
      </c>
      <c r="CB38" s="76">
        <f>BZ38*CA38</f>
        <v>0</v>
      </c>
      <c r="CC38" s="50"/>
      <c r="CD38" s="113">
        <f t="shared" si="13"/>
        <v>0</v>
      </c>
      <c r="CE38" s="114">
        <f t="shared" si="14"/>
        <v>0</v>
      </c>
      <c r="CF38" s="76">
        <f>CD38*CE38</f>
        <v>0</v>
      </c>
      <c r="CG38" s="50"/>
      <c r="CH38" s="113">
        <f t="shared" si="15"/>
        <v>0</v>
      </c>
      <c r="CI38" s="114">
        <f t="shared" si="16"/>
        <v>0</v>
      </c>
      <c r="CJ38" s="76">
        <f>CH38*CI38</f>
        <v>0</v>
      </c>
      <c r="CK38" s="50"/>
      <c r="CL38" s="113">
        <f t="shared" si="17"/>
        <v>0</v>
      </c>
      <c r="CM38" s="114">
        <f t="shared" si="18"/>
        <v>0</v>
      </c>
      <c r="CN38" s="76">
        <f>CL38*CM38</f>
        <v>0</v>
      </c>
      <c r="CO38" s="50"/>
      <c r="CP38" s="113">
        <f t="shared" si="19"/>
        <v>0</v>
      </c>
      <c r="CQ38" s="114">
        <f t="shared" si="20"/>
        <v>0</v>
      </c>
      <c r="CR38" s="76">
        <f>CP38*CQ38</f>
        <v>0</v>
      </c>
      <c r="CS38" s="115">
        <f t="shared" si="21"/>
        <v>0</v>
      </c>
    </row>
    <row r="39" spans="1:97" ht="16.5" customHeight="1" x14ac:dyDescent="0.25">
      <c r="A39" s="32"/>
      <c r="B39" s="10"/>
      <c r="C39" s="73" t="s">
        <v>377</v>
      </c>
      <c r="H39" s="54"/>
      <c r="I39" s="9"/>
      <c r="M39" s="40"/>
      <c r="N39" s="40"/>
      <c r="O39" s="40"/>
      <c r="P39" s="40"/>
      <c r="Q39" s="40"/>
      <c r="R39" s="40"/>
      <c r="S39" s="40"/>
      <c r="W39" s="40"/>
      <c r="X39" s="74"/>
      <c r="Y39" s="40"/>
      <c r="Z39" s="74"/>
      <c r="AA39" s="40"/>
      <c r="AB39" s="74"/>
      <c r="AC39" s="40"/>
      <c r="AD39" s="74"/>
      <c r="AE39" s="74"/>
      <c r="AI39" s="40"/>
      <c r="AJ39" s="321"/>
      <c r="AK39" s="40"/>
      <c r="AL39" s="321"/>
      <c r="AM39" s="40"/>
      <c r="AN39" s="321"/>
      <c r="AO39" s="40"/>
      <c r="AS39" s="40"/>
      <c r="AT39" s="321"/>
      <c r="AU39" s="40"/>
      <c r="AV39" s="321"/>
      <c r="AW39" s="40"/>
      <c r="AX39" s="321"/>
      <c r="AY39" s="40"/>
      <c r="AZ39" s="321"/>
      <c r="BC39" s="110"/>
      <c r="BD39" s="111"/>
      <c r="BE39" s="116"/>
      <c r="BF39" s="113"/>
      <c r="BG39" s="114"/>
      <c r="BH39" s="76"/>
      <c r="BI39" s="50"/>
      <c r="BJ39" s="113"/>
      <c r="BK39" s="114"/>
      <c r="BL39" s="76"/>
      <c r="BM39" s="50"/>
      <c r="BN39" s="113"/>
      <c r="BO39" s="114"/>
      <c r="BP39" s="76"/>
      <c r="BQ39" s="50"/>
      <c r="BR39" s="113"/>
      <c r="BS39" s="114"/>
      <c r="BT39" s="76"/>
      <c r="BU39" s="50"/>
      <c r="BV39" s="113"/>
      <c r="BW39" s="114"/>
      <c r="BX39" s="76"/>
      <c r="BY39" s="115"/>
      <c r="BZ39" s="113"/>
      <c r="CA39" s="114"/>
      <c r="CB39" s="76"/>
      <c r="CC39" s="50"/>
      <c r="CD39" s="113"/>
      <c r="CE39" s="114"/>
      <c r="CF39" s="76"/>
      <c r="CG39" s="50"/>
      <c r="CH39" s="113"/>
      <c r="CI39" s="114"/>
      <c r="CJ39" s="76"/>
      <c r="CK39" s="50"/>
      <c r="CL39" s="113"/>
      <c r="CM39" s="114"/>
      <c r="CN39" s="76"/>
      <c r="CO39" s="50"/>
      <c r="CP39" s="113"/>
      <c r="CQ39" s="114"/>
      <c r="CR39" s="76"/>
      <c r="CS39" s="115"/>
    </row>
    <row r="40" spans="1:97" ht="16.5" customHeight="1" x14ac:dyDescent="0.25">
      <c r="A40" s="32" t="s">
        <v>246</v>
      </c>
      <c r="B40" s="10"/>
      <c r="D40" s="53" t="str">
        <f>((BF40*100)&amp;"%"&amp;" time, "&amp;BG40&amp;" months, "&amp;BE40)</f>
        <v>0% time, 0 months, CY</v>
      </c>
      <c r="E40" s="53"/>
      <c r="H40" s="54"/>
      <c r="I40" s="9"/>
      <c r="J40" s="74">
        <f>IF(BH40=0,0,($BC40/$BD40*BH40))</f>
        <v>0</v>
      </c>
      <c r="L40" s="74">
        <f>IF(BL40=0,0,($BC40*(1+$BD$7)/$BD40*BL40))</f>
        <v>0</v>
      </c>
      <c r="M40" s="40"/>
      <c r="N40" s="74">
        <f>IF(BP40=0,0,($BC40*(1+$BD$7)^2/$BD40*BP40))</f>
        <v>0</v>
      </c>
      <c r="O40" s="40"/>
      <c r="P40" s="74">
        <f>IF(BT40=0,0,($BC40*(1+$BD$7)^3/$BD40*BT40))</f>
        <v>0</v>
      </c>
      <c r="Q40" s="40"/>
      <c r="R40" s="74">
        <f>IF(BX40=0,0,($BC40*(1+$BD$7)^4/$BD40*BX40))</f>
        <v>0</v>
      </c>
      <c r="S40" s="40"/>
      <c r="T40" s="74">
        <f>IF(CB40=0,0,($BC40*(1+$BD$7)^5/$BD40*CB40))</f>
        <v>0</v>
      </c>
      <c r="V40" s="74">
        <f>IF(CF40=0,0,($BC40*(1+$BD$7)^6/$BD40*CF40))</f>
        <v>0</v>
      </c>
      <c r="W40" s="40"/>
      <c r="X40" s="74">
        <f t="shared" si="24"/>
        <v>0</v>
      </c>
      <c r="Y40" s="40"/>
      <c r="Z40" s="74">
        <f t="shared" si="25"/>
        <v>0</v>
      </c>
      <c r="AA40" s="40"/>
      <c r="AB40" s="74">
        <f t="shared" si="26"/>
        <v>0</v>
      </c>
      <c r="AC40" s="74"/>
      <c r="AD40" s="74">
        <f>J40+L40+N40+P40+R40+T40+V40+X40+Z40+AB40</f>
        <v>0</v>
      </c>
      <c r="AE40" s="74"/>
      <c r="AF40" s="321">
        <f>IF(BH40=0,0,($BC40/$BD40*BH40))*0</f>
        <v>0</v>
      </c>
      <c r="AH40" s="321">
        <f t="shared" si="0"/>
        <v>0</v>
      </c>
      <c r="AI40" s="40"/>
      <c r="AJ40" s="321">
        <f t="shared" si="4"/>
        <v>0</v>
      </c>
      <c r="AK40" s="40"/>
      <c r="AL40" s="321">
        <f t="shared" si="5"/>
        <v>0</v>
      </c>
      <c r="AM40" s="40"/>
      <c r="AN40" s="321">
        <f>IF(BX40=0,0,($BC40*(1+$BD$7)^4/$BD40*BX40))*0</f>
        <v>0</v>
      </c>
      <c r="AO40" s="40"/>
      <c r="AP40" s="321">
        <f t="shared" si="7"/>
        <v>0</v>
      </c>
      <c r="AR40" s="321">
        <f t="shared" si="8"/>
        <v>0</v>
      </c>
      <c r="AS40" s="40"/>
      <c r="AT40" s="321">
        <f t="shared" si="9"/>
        <v>0</v>
      </c>
      <c r="AU40" s="40"/>
      <c r="AV40" s="321">
        <f t="shared" si="10"/>
        <v>0</v>
      </c>
      <c r="AW40" s="40"/>
      <c r="AX40" s="321">
        <f t="shared" si="11"/>
        <v>0</v>
      </c>
      <c r="AY40" s="74"/>
      <c r="AZ40" s="321">
        <f>AF40+AH40+AJ40+AL40+AN40+AP40+AR40+AT40+AV40+AX40</f>
        <v>0</v>
      </c>
      <c r="BC40" s="110"/>
      <c r="BD40" s="111">
        <v>12</v>
      </c>
      <c r="BE40" s="116" t="s">
        <v>82</v>
      </c>
      <c r="BF40" s="113">
        <v>0</v>
      </c>
      <c r="BG40" s="114">
        <v>0</v>
      </c>
      <c r="BH40" s="76">
        <f>BF40*BG40</f>
        <v>0</v>
      </c>
      <c r="BI40" s="50"/>
      <c r="BJ40" s="113">
        <f>IF($BD$15=1,0,BF40)</f>
        <v>0</v>
      </c>
      <c r="BK40" s="114">
        <f>IF($BD$15=1,0,BG40)</f>
        <v>0</v>
      </c>
      <c r="BL40" s="76">
        <f>BJ40*BK40</f>
        <v>0</v>
      </c>
      <c r="BM40" s="50"/>
      <c r="BN40" s="113">
        <f>IF($BD$15=2,0,BJ40)</f>
        <v>0</v>
      </c>
      <c r="BO40" s="114">
        <f>IF($BD$15=2,0,BK40)</f>
        <v>0</v>
      </c>
      <c r="BP40" s="76">
        <f>BN40*BO40</f>
        <v>0</v>
      </c>
      <c r="BQ40" s="50"/>
      <c r="BR40" s="113">
        <f>IF($BD$15=3,0,BN40)</f>
        <v>0</v>
      </c>
      <c r="BS40" s="114">
        <f>IF($BD$15=3,0,BO40)</f>
        <v>0</v>
      </c>
      <c r="BT40" s="76">
        <f>BR40*BS40</f>
        <v>0</v>
      </c>
      <c r="BU40" s="50"/>
      <c r="BV40" s="113">
        <f>IF($BD$15=4,0,BR40)</f>
        <v>0</v>
      </c>
      <c r="BW40" s="114">
        <f>IF($BD$15=4,0,BS40)</f>
        <v>0</v>
      </c>
      <c r="BX40" s="76">
        <f>BV40*BW40</f>
        <v>0</v>
      </c>
      <c r="BY40" s="115"/>
      <c r="BZ40" s="113">
        <f t="shared" si="23"/>
        <v>0</v>
      </c>
      <c r="CA40" s="114">
        <f t="shared" si="12"/>
        <v>0</v>
      </c>
      <c r="CB40" s="76">
        <f>BZ40*CA40</f>
        <v>0</v>
      </c>
      <c r="CC40" s="50"/>
      <c r="CD40" s="113">
        <f t="shared" si="13"/>
        <v>0</v>
      </c>
      <c r="CE40" s="114">
        <f t="shared" si="14"/>
        <v>0</v>
      </c>
      <c r="CF40" s="76">
        <f>CD40*CE40</f>
        <v>0</v>
      </c>
      <c r="CG40" s="50"/>
      <c r="CH40" s="113">
        <f t="shared" si="15"/>
        <v>0</v>
      </c>
      <c r="CI40" s="114">
        <f t="shared" si="16"/>
        <v>0</v>
      </c>
      <c r="CJ40" s="76">
        <f>CH40*CI40</f>
        <v>0</v>
      </c>
      <c r="CK40" s="50"/>
      <c r="CL40" s="113">
        <f>IF($BD$15=8,0,CH40)</f>
        <v>0</v>
      </c>
      <c r="CM40" s="114">
        <f t="shared" si="18"/>
        <v>0</v>
      </c>
      <c r="CN40" s="76">
        <f>CL40*CM40</f>
        <v>0</v>
      </c>
      <c r="CO40" s="50"/>
      <c r="CP40" s="113">
        <f t="shared" si="19"/>
        <v>0</v>
      </c>
      <c r="CQ40" s="114">
        <f t="shared" si="20"/>
        <v>0</v>
      </c>
      <c r="CR40" s="76">
        <f>CP40*CQ40</f>
        <v>0</v>
      </c>
      <c r="CS40" s="115">
        <f t="shared" si="21"/>
        <v>0</v>
      </c>
    </row>
    <row r="41" spans="1:97" ht="16.5" customHeight="1" x14ac:dyDescent="0.25">
      <c r="A41" s="32"/>
      <c r="B41" s="10"/>
      <c r="C41" s="73" t="s">
        <v>377</v>
      </c>
      <c r="H41" s="54"/>
      <c r="I41" s="9"/>
      <c r="M41" s="40"/>
      <c r="N41" s="40"/>
      <c r="O41" s="40"/>
      <c r="P41" s="40"/>
      <c r="Q41" s="40"/>
      <c r="R41" s="40"/>
      <c r="S41" s="40"/>
      <c r="W41" s="40"/>
      <c r="X41" s="74"/>
      <c r="Y41" s="40"/>
      <c r="Z41" s="74"/>
      <c r="AA41" s="40"/>
      <c r="AB41" s="74"/>
      <c r="AC41" s="40"/>
      <c r="AD41" s="74"/>
      <c r="AE41" s="74"/>
      <c r="AI41" s="40"/>
      <c r="AJ41" s="321"/>
      <c r="AK41" s="40"/>
      <c r="AL41" s="321"/>
      <c r="AM41" s="40"/>
      <c r="AN41" s="321"/>
      <c r="AO41" s="40"/>
      <c r="AS41" s="40"/>
      <c r="AT41" s="321"/>
      <c r="AU41" s="40"/>
      <c r="AV41" s="321"/>
      <c r="AW41" s="40"/>
      <c r="AX41" s="321"/>
      <c r="AY41" s="40"/>
      <c r="AZ41" s="321"/>
      <c r="BC41" s="110"/>
      <c r="BD41" s="111"/>
      <c r="BE41" s="116"/>
      <c r="BF41" s="113"/>
      <c r="BG41" s="114"/>
      <c r="BH41" s="76"/>
      <c r="BI41" s="50"/>
      <c r="BJ41" s="113"/>
      <c r="BK41" s="114"/>
      <c r="BL41" s="76"/>
      <c r="BM41" s="50"/>
      <c r="BN41" s="113"/>
      <c r="BO41" s="114"/>
      <c r="BP41" s="76"/>
      <c r="BQ41" s="50"/>
      <c r="BR41" s="113"/>
      <c r="BS41" s="114"/>
      <c r="BT41" s="76"/>
      <c r="BU41" s="50"/>
      <c r="BV41" s="113"/>
      <c r="BW41" s="114"/>
      <c r="BX41" s="76"/>
      <c r="BY41" s="115"/>
      <c r="BZ41" s="113"/>
      <c r="CA41" s="114"/>
      <c r="CB41" s="76"/>
      <c r="CC41" s="50"/>
      <c r="CD41" s="113"/>
      <c r="CE41" s="114"/>
      <c r="CF41" s="76"/>
      <c r="CG41" s="50"/>
      <c r="CH41" s="113"/>
      <c r="CI41" s="114"/>
      <c r="CJ41" s="76"/>
      <c r="CK41" s="50"/>
      <c r="CL41" s="113"/>
      <c r="CM41" s="114"/>
      <c r="CN41" s="76"/>
      <c r="CO41" s="50"/>
      <c r="CP41" s="113"/>
      <c r="CQ41" s="114"/>
      <c r="CR41" s="76"/>
      <c r="CS41" s="115"/>
    </row>
    <row r="42" spans="1:97" ht="16.5" customHeight="1" x14ac:dyDescent="0.25">
      <c r="A42" s="32" t="s">
        <v>246</v>
      </c>
      <c r="B42" s="10"/>
      <c r="D42" s="53" t="str">
        <f>((BF42*100)&amp;"%"&amp;" time, "&amp;BG42&amp;" months, "&amp;BE42)</f>
        <v>0% time, 0 months, CY</v>
      </c>
      <c r="E42" s="53"/>
      <c r="H42" s="54"/>
      <c r="I42" s="9"/>
      <c r="J42" s="74">
        <f>IF(BH42=0,0,($BC42/$BD42*BH42))</f>
        <v>0</v>
      </c>
      <c r="L42" s="74">
        <f>IF(BL42=0,0,($BC42*(1+$BD$7)/$BD42*BL42))</f>
        <v>0</v>
      </c>
      <c r="M42" s="40"/>
      <c r="N42" s="74">
        <f>IF(BP42=0,0,($BC42*(1+$BD$7)^2/$BD42*BP42))</f>
        <v>0</v>
      </c>
      <c r="O42" s="40"/>
      <c r="P42" s="74">
        <f>IF(BT42=0,0,($BC42*(1+$BD$7)^3/$BD42*BT42))</f>
        <v>0</v>
      </c>
      <c r="Q42" s="40"/>
      <c r="R42" s="74">
        <f>IF(BX42=0,0,($BC42*(1+$BD$7)^4/$BD42*BX42))</f>
        <v>0</v>
      </c>
      <c r="S42" s="40"/>
      <c r="T42" s="74">
        <f>IF(CB42=0,0,($BC42*(1+$BD$7)^5/$BD42*CB42))</f>
        <v>0</v>
      </c>
      <c r="V42" s="74">
        <f>IF(CF42=0,0,($BC42*(1+$BD$7)^6/$BD42*CF42))</f>
        <v>0</v>
      </c>
      <c r="W42" s="40"/>
      <c r="X42" s="74">
        <f t="shared" si="24"/>
        <v>0</v>
      </c>
      <c r="Y42" s="40"/>
      <c r="Z42" s="74">
        <f t="shared" si="25"/>
        <v>0</v>
      </c>
      <c r="AA42" s="40"/>
      <c r="AB42" s="74">
        <f t="shared" si="26"/>
        <v>0</v>
      </c>
      <c r="AC42" s="74"/>
      <c r="AD42" s="74">
        <f>J42+L42+N42+P42+R42+T42+V42+X42+Z42+AB42</f>
        <v>0</v>
      </c>
      <c r="AE42" s="74"/>
      <c r="AF42" s="321">
        <f t="shared" si="22"/>
        <v>0</v>
      </c>
      <c r="AH42" s="321">
        <f t="shared" si="0"/>
        <v>0</v>
      </c>
      <c r="AI42" s="40"/>
      <c r="AJ42" s="321">
        <f t="shared" si="4"/>
        <v>0</v>
      </c>
      <c r="AK42" s="40"/>
      <c r="AL42" s="321">
        <f t="shared" si="5"/>
        <v>0</v>
      </c>
      <c r="AM42" s="40"/>
      <c r="AN42" s="321">
        <f t="shared" si="6"/>
        <v>0</v>
      </c>
      <c r="AO42" s="40"/>
      <c r="AP42" s="321">
        <f t="shared" si="7"/>
        <v>0</v>
      </c>
      <c r="AR42" s="321">
        <f t="shared" si="8"/>
        <v>0</v>
      </c>
      <c r="AS42" s="40"/>
      <c r="AT42" s="321">
        <f t="shared" si="9"/>
        <v>0</v>
      </c>
      <c r="AU42" s="40"/>
      <c r="AV42" s="321">
        <f t="shared" si="10"/>
        <v>0</v>
      </c>
      <c r="AW42" s="40"/>
      <c r="AX42" s="321">
        <f t="shared" si="11"/>
        <v>0</v>
      </c>
      <c r="AY42" s="74"/>
      <c r="AZ42" s="321">
        <f>AF42+AH42+AJ42+AL42+AN42+AP42+AR42+AT42+AV42+AX42</f>
        <v>0</v>
      </c>
      <c r="BC42" s="110"/>
      <c r="BD42" s="111">
        <v>12</v>
      </c>
      <c r="BE42" s="116" t="s">
        <v>82</v>
      </c>
      <c r="BF42" s="113">
        <v>0</v>
      </c>
      <c r="BG42" s="114">
        <v>0</v>
      </c>
      <c r="BH42" s="76">
        <f>BF42*BG42</f>
        <v>0</v>
      </c>
      <c r="BI42" s="50"/>
      <c r="BJ42" s="113">
        <f>IF($BD$15=1,0,BF42)</f>
        <v>0</v>
      </c>
      <c r="BK42" s="114">
        <f>IF($BD$15=1,0,BG42)</f>
        <v>0</v>
      </c>
      <c r="BL42" s="76">
        <f>BJ42*BK42</f>
        <v>0</v>
      </c>
      <c r="BM42" s="50"/>
      <c r="BN42" s="113">
        <f>IF($BD$15=2,0,BJ42)</f>
        <v>0</v>
      </c>
      <c r="BO42" s="114">
        <f>IF($BD$15=2,0,BK42)</f>
        <v>0</v>
      </c>
      <c r="BP42" s="76">
        <f>BN42*BO42</f>
        <v>0</v>
      </c>
      <c r="BQ42" s="50"/>
      <c r="BR42" s="113">
        <f>IF($BD$15=3,0,BN42)</f>
        <v>0</v>
      </c>
      <c r="BS42" s="114">
        <f>IF($BD$15=3,0,BO42)</f>
        <v>0</v>
      </c>
      <c r="BT42" s="76">
        <f>BR42*BS42</f>
        <v>0</v>
      </c>
      <c r="BU42" s="50"/>
      <c r="BV42" s="113">
        <f>IF($BD$15=4,0,BR42)</f>
        <v>0</v>
      </c>
      <c r="BW42" s="114">
        <f>IF($BD$15=4,0,BS42)</f>
        <v>0</v>
      </c>
      <c r="BX42" s="76">
        <f>BV42*BW42</f>
        <v>0</v>
      </c>
      <c r="BY42" s="115"/>
      <c r="BZ42" s="113">
        <f t="shared" si="23"/>
        <v>0</v>
      </c>
      <c r="CA42" s="114">
        <f t="shared" si="12"/>
        <v>0</v>
      </c>
      <c r="CB42" s="76">
        <f>BZ42*CA42</f>
        <v>0</v>
      </c>
      <c r="CC42" s="50"/>
      <c r="CD42" s="113">
        <f t="shared" si="13"/>
        <v>0</v>
      </c>
      <c r="CE42" s="114">
        <f t="shared" si="14"/>
        <v>0</v>
      </c>
      <c r="CF42" s="76">
        <f>CD42*CE42</f>
        <v>0</v>
      </c>
      <c r="CG42" s="50"/>
      <c r="CH42" s="113">
        <f t="shared" si="15"/>
        <v>0</v>
      </c>
      <c r="CI42" s="114">
        <f t="shared" si="16"/>
        <v>0</v>
      </c>
      <c r="CJ42" s="76">
        <f>CH42*CI42</f>
        <v>0</v>
      </c>
      <c r="CK42" s="50"/>
      <c r="CL42" s="113">
        <f t="shared" si="17"/>
        <v>0</v>
      </c>
      <c r="CM42" s="114">
        <f t="shared" si="18"/>
        <v>0</v>
      </c>
      <c r="CN42" s="76">
        <f>CL42*CM42</f>
        <v>0</v>
      </c>
      <c r="CO42" s="50"/>
      <c r="CP42" s="113">
        <f t="shared" si="19"/>
        <v>0</v>
      </c>
      <c r="CQ42" s="114">
        <f t="shared" si="20"/>
        <v>0</v>
      </c>
      <c r="CR42" s="76">
        <f>CP42*CQ42</f>
        <v>0</v>
      </c>
      <c r="CS42" s="115">
        <f t="shared" si="21"/>
        <v>0</v>
      </c>
    </row>
    <row r="43" spans="1:97" ht="16.5" customHeight="1" x14ac:dyDescent="0.25">
      <c r="A43" s="32"/>
      <c r="B43" s="10"/>
      <c r="C43" s="73" t="s">
        <v>89</v>
      </c>
      <c r="H43" s="54"/>
      <c r="I43" s="9"/>
      <c r="M43" s="40"/>
      <c r="N43" s="40"/>
      <c r="O43" s="40"/>
      <c r="P43" s="40"/>
      <c r="Q43" s="40"/>
      <c r="R43" s="40"/>
      <c r="S43" s="40"/>
      <c r="W43" s="40"/>
      <c r="X43" s="74"/>
      <c r="Y43" s="40"/>
      <c r="Z43" s="74"/>
      <c r="AA43" s="40"/>
      <c r="AB43" s="74"/>
      <c r="AC43" s="40"/>
      <c r="AD43" s="74"/>
      <c r="AE43" s="74"/>
      <c r="AI43" s="40"/>
      <c r="AJ43" s="321"/>
      <c r="AK43" s="40"/>
      <c r="AL43" s="321"/>
      <c r="AM43" s="40"/>
      <c r="AN43" s="321"/>
      <c r="AO43" s="40"/>
      <c r="AS43" s="40"/>
      <c r="AT43" s="321"/>
      <c r="AU43" s="40"/>
      <c r="AV43" s="321"/>
      <c r="AW43" s="40"/>
      <c r="AX43" s="321"/>
      <c r="AY43" s="40"/>
      <c r="AZ43" s="321"/>
      <c r="BC43" s="110"/>
      <c r="BD43" s="111"/>
      <c r="BE43" s="116"/>
      <c r="BF43" s="113"/>
      <c r="BG43" s="114"/>
      <c r="BH43" s="76"/>
      <c r="BI43" s="50"/>
      <c r="BJ43" s="113"/>
      <c r="BK43" s="114"/>
      <c r="BL43" s="76"/>
      <c r="BM43" s="50"/>
      <c r="BN43" s="113"/>
      <c r="BO43" s="114"/>
      <c r="BP43" s="76"/>
      <c r="BQ43" s="50"/>
      <c r="BR43" s="113"/>
      <c r="BS43" s="114"/>
      <c r="BT43" s="76"/>
      <c r="BU43" s="50"/>
      <c r="BV43" s="113"/>
      <c r="BW43" s="114"/>
      <c r="BX43" s="76"/>
      <c r="BY43" s="115"/>
      <c r="BZ43" s="113"/>
      <c r="CA43" s="114"/>
      <c r="CB43" s="76"/>
      <c r="CC43" s="50"/>
      <c r="CD43" s="113"/>
      <c r="CE43" s="114"/>
      <c r="CF43" s="76"/>
      <c r="CG43" s="50"/>
      <c r="CH43" s="113"/>
      <c r="CI43" s="114"/>
      <c r="CJ43" s="76"/>
      <c r="CK43" s="50"/>
      <c r="CL43" s="113"/>
      <c r="CM43" s="114"/>
      <c r="CN43" s="76"/>
      <c r="CO43" s="50"/>
      <c r="CP43" s="113"/>
      <c r="CQ43" s="114"/>
      <c r="CR43" s="76"/>
      <c r="CS43" s="115"/>
    </row>
    <row r="44" spans="1:97" ht="16.5" customHeight="1" x14ac:dyDescent="0.25">
      <c r="A44" s="32" t="s">
        <v>250</v>
      </c>
      <c r="B44" s="10"/>
      <c r="D44" s="53" t="str">
        <f>((BF44*100)&amp;"%"&amp;" time, "&amp;BG44&amp;" months, "&amp;BE44)</f>
        <v>0% time, 0 months, CY</v>
      </c>
      <c r="E44" s="53"/>
      <c r="H44" s="54"/>
      <c r="I44" s="9"/>
      <c r="J44" s="74">
        <f>IF(BH44=0,0,($BC44/$BD44*BH44))</f>
        <v>0</v>
      </c>
      <c r="L44" s="74">
        <f>IF(BL44=0,0,($BC44*(1+$BD$7)/$BD44*BL44))</f>
        <v>0</v>
      </c>
      <c r="M44" s="40"/>
      <c r="N44" s="74">
        <f>IF(BP44=0,0,($BC44*(1+$BD$7)^2/$BD44*BP44))</f>
        <v>0</v>
      </c>
      <c r="O44" s="40"/>
      <c r="P44" s="74">
        <f>IF(BT44=0,0,($BC44*(1+$BD$7)^3/$BD44*BT44))</f>
        <v>0</v>
      </c>
      <c r="Q44" s="40"/>
      <c r="R44" s="74">
        <f>IF(BX44=0,0,($BC44*(1+$BD$7)^4/$BD44*BX44))</f>
        <v>0</v>
      </c>
      <c r="S44" s="40"/>
      <c r="T44" s="74">
        <f>IF(CB44=0,0,($BC44*(1+$BD$7)^5/$BD44*CB44))</f>
        <v>0</v>
      </c>
      <c r="V44" s="74">
        <f>IF(CF44=0,0,($BC44*(1+$BD$7)^6/$BD44*CF44))</f>
        <v>0</v>
      </c>
      <c r="W44" s="40"/>
      <c r="X44" s="74">
        <f t="shared" si="24"/>
        <v>0</v>
      </c>
      <c r="Y44" s="40"/>
      <c r="Z44" s="74">
        <f t="shared" si="25"/>
        <v>0</v>
      </c>
      <c r="AA44" s="40"/>
      <c r="AB44" s="74">
        <f t="shared" si="26"/>
        <v>0</v>
      </c>
      <c r="AC44" s="74"/>
      <c r="AD44" s="74">
        <f>J44+L44+N44+P44+R44+T44+V44+X44+Z44+AB44</f>
        <v>0</v>
      </c>
      <c r="AE44" s="74"/>
      <c r="AF44" s="321">
        <f t="shared" si="22"/>
        <v>0</v>
      </c>
      <c r="AH44" s="321">
        <f>IF(BL44=0,0,($BC44*(1+$BD$7)/$BD44*BL44))*0</f>
        <v>0</v>
      </c>
      <c r="AI44" s="40"/>
      <c r="AJ44" s="321">
        <f t="shared" si="4"/>
        <v>0</v>
      </c>
      <c r="AK44" s="40"/>
      <c r="AL44" s="321">
        <f t="shared" si="5"/>
        <v>0</v>
      </c>
      <c r="AM44" s="40"/>
      <c r="AN44" s="321">
        <f t="shared" si="6"/>
        <v>0</v>
      </c>
      <c r="AO44" s="40"/>
      <c r="AP44" s="321">
        <f t="shared" si="7"/>
        <v>0</v>
      </c>
      <c r="AR44" s="321">
        <f t="shared" si="8"/>
        <v>0</v>
      </c>
      <c r="AS44" s="40"/>
      <c r="AT44" s="321">
        <f t="shared" si="9"/>
        <v>0</v>
      </c>
      <c r="AU44" s="40"/>
      <c r="AV44" s="321">
        <f t="shared" si="10"/>
        <v>0</v>
      </c>
      <c r="AW44" s="40"/>
      <c r="AX44" s="321">
        <f t="shared" si="11"/>
        <v>0</v>
      </c>
      <c r="AY44" s="74"/>
      <c r="AZ44" s="321">
        <f>AF44+AH44+AJ44+AL44+AN44+AP44+AR44+AT44+AV44+AX44</f>
        <v>0</v>
      </c>
      <c r="BC44" s="110"/>
      <c r="BD44" s="111">
        <v>12</v>
      </c>
      <c r="BE44" s="116" t="s">
        <v>82</v>
      </c>
      <c r="BF44" s="113">
        <v>0</v>
      </c>
      <c r="BG44" s="114">
        <v>0</v>
      </c>
      <c r="BH44" s="76">
        <f>BF44*BG44</f>
        <v>0</v>
      </c>
      <c r="BI44" s="50"/>
      <c r="BJ44" s="113">
        <f>IF($BD$15=1,0,BF44)</f>
        <v>0</v>
      </c>
      <c r="BK44" s="114">
        <f>IF($BD$15=1,0,BG44)</f>
        <v>0</v>
      </c>
      <c r="BL44" s="76">
        <f>BJ44*BK44</f>
        <v>0</v>
      </c>
      <c r="BM44" s="50"/>
      <c r="BN44" s="113">
        <f>IF($BD$15=2,0,BJ44)</f>
        <v>0</v>
      </c>
      <c r="BO44" s="114">
        <f>IF($BD$15=2,0,BK44)</f>
        <v>0</v>
      </c>
      <c r="BP44" s="76">
        <f>BN44*BO44</f>
        <v>0</v>
      </c>
      <c r="BQ44" s="50"/>
      <c r="BR44" s="113">
        <f>IF($BD$15=3,0,BN44)</f>
        <v>0</v>
      </c>
      <c r="BS44" s="114">
        <f>IF($BD$15=3,0,BO44)</f>
        <v>0</v>
      </c>
      <c r="BT44" s="76">
        <f>BR44*BS44</f>
        <v>0</v>
      </c>
      <c r="BU44" s="50"/>
      <c r="BV44" s="113">
        <f>IF($BD$15=4,0,BR44)</f>
        <v>0</v>
      </c>
      <c r="BW44" s="114">
        <f>IF($BD$15=4,0,BS44)</f>
        <v>0</v>
      </c>
      <c r="BX44" s="76">
        <f>BV44*BW44</f>
        <v>0</v>
      </c>
      <c r="BY44" s="115"/>
      <c r="BZ44" s="113">
        <f t="shared" si="23"/>
        <v>0</v>
      </c>
      <c r="CA44" s="114">
        <f t="shared" si="12"/>
        <v>0</v>
      </c>
      <c r="CB44" s="76">
        <f>BZ44*CA44</f>
        <v>0</v>
      </c>
      <c r="CC44" s="50"/>
      <c r="CD44" s="113">
        <f t="shared" si="13"/>
        <v>0</v>
      </c>
      <c r="CE44" s="114">
        <f t="shared" si="14"/>
        <v>0</v>
      </c>
      <c r="CF44" s="76">
        <f>CD44*CE44</f>
        <v>0</v>
      </c>
      <c r="CG44" s="50"/>
      <c r="CH44" s="113">
        <f t="shared" si="15"/>
        <v>0</v>
      </c>
      <c r="CI44" s="114">
        <f t="shared" si="16"/>
        <v>0</v>
      </c>
      <c r="CJ44" s="76">
        <f>CH44*CI44</f>
        <v>0</v>
      </c>
      <c r="CK44" s="50"/>
      <c r="CL44" s="113">
        <f t="shared" si="17"/>
        <v>0</v>
      </c>
      <c r="CM44" s="114">
        <f t="shared" si="18"/>
        <v>0</v>
      </c>
      <c r="CN44" s="76">
        <f>CL44*CM44</f>
        <v>0</v>
      </c>
      <c r="CO44" s="50"/>
      <c r="CP44" s="113">
        <f t="shared" si="19"/>
        <v>0</v>
      </c>
      <c r="CQ44" s="114">
        <f t="shared" si="20"/>
        <v>0</v>
      </c>
      <c r="CR44" s="76">
        <f>CP44*CQ44</f>
        <v>0</v>
      </c>
      <c r="CS44" s="115">
        <f t="shared" si="21"/>
        <v>0</v>
      </c>
    </row>
    <row r="45" spans="1:97" ht="16.5" customHeight="1" x14ac:dyDescent="0.25">
      <c r="A45" s="32"/>
      <c r="B45" s="10"/>
      <c r="C45" s="73" t="s">
        <v>89</v>
      </c>
      <c r="H45" s="54"/>
      <c r="I45" s="9"/>
      <c r="M45" s="40"/>
      <c r="N45" s="74"/>
      <c r="O45" s="40"/>
      <c r="P45" s="74"/>
      <c r="Q45" s="40"/>
      <c r="R45" s="74"/>
      <c r="S45" s="40"/>
      <c r="W45" s="40"/>
      <c r="X45" s="74"/>
      <c r="Y45" s="40"/>
      <c r="Z45" s="74"/>
      <c r="AA45" s="40"/>
      <c r="AB45" s="74"/>
      <c r="AC45" s="74"/>
      <c r="AD45" s="74"/>
      <c r="AE45" s="74"/>
      <c r="AI45" s="40"/>
      <c r="AJ45" s="321"/>
      <c r="AK45" s="40"/>
      <c r="AL45" s="321"/>
      <c r="AM45" s="40"/>
      <c r="AN45" s="321"/>
      <c r="AO45" s="40"/>
      <c r="AS45" s="40"/>
      <c r="AT45" s="321"/>
      <c r="AU45" s="40"/>
      <c r="AV45" s="321"/>
      <c r="AW45" s="40"/>
      <c r="AX45" s="321"/>
      <c r="AY45" s="74"/>
      <c r="AZ45" s="321"/>
      <c r="BC45" s="110"/>
      <c r="BD45" s="111"/>
      <c r="BE45" s="116"/>
      <c r="BF45" s="113"/>
      <c r="BG45" s="114"/>
      <c r="BH45" s="76"/>
      <c r="BI45" s="50"/>
      <c r="BJ45" s="113"/>
      <c r="BK45" s="114"/>
      <c r="BL45" s="76"/>
      <c r="BM45" s="50"/>
      <c r="BN45" s="113"/>
      <c r="BO45" s="114"/>
      <c r="BP45" s="76"/>
      <c r="BQ45" s="50"/>
      <c r="BR45" s="113"/>
      <c r="BS45" s="114"/>
      <c r="BT45" s="76"/>
      <c r="BU45" s="50"/>
      <c r="BV45" s="113"/>
      <c r="BW45" s="114"/>
      <c r="BX45" s="76"/>
      <c r="BY45" s="115"/>
      <c r="BZ45" s="113"/>
      <c r="CA45" s="114"/>
      <c r="CB45" s="76"/>
      <c r="CC45" s="50"/>
      <c r="CD45" s="113"/>
      <c r="CE45" s="114"/>
      <c r="CF45" s="76"/>
      <c r="CG45" s="50"/>
      <c r="CH45" s="113"/>
      <c r="CI45" s="114"/>
      <c r="CJ45" s="76"/>
      <c r="CK45" s="50"/>
      <c r="CL45" s="113"/>
      <c r="CM45" s="114"/>
      <c r="CN45" s="76"/>
      <c r="CO45" s="50"/>
      <c r="CP45" s="113"/>
      <c r="CQ45" s="114"/>
      <c r="CR45" s="76"/>
      <c r="CS45" s="115"/>
    </row>
    <row r="46" spans="1:97" ht="16.5" customHeight="1" x14ac:dyDescent="0.25">
      <c r="A46" s="32" t="s">
        <v>250</v>
      </c>
      <c r="B46" s="10"/>
      <c r="D46" s="53" t="str">
        <f>((BF46*100)&amp;"%"&amp;" time, "&amp;BG46&amp;" months, "&amp;BE46)</f>
        <v>0% time, 0 months, CY</v>
      </c>
      <c r="E46" s="53"/>
      <c r="H46" s="54"/>
      <c r="I46" s="9"/>
      <c r="J46" s="74">
        <f>IF(BH46=0,0,($BC46/$BD46*BH46))</f>
        <v>0</v>
      </c>
      <c r="L46" s="74">
        <f>IF(BL46=0,0,($BC46*(1+$BD$7)/$BD46*BL46))</f>
        <v>0</v>
      </c>
      <c r="M46" s="40"/>
      <c r="N46" s="74">
        <f>IF(BP46=0,0,($BC46*(1+$BD$7)^2/$BD46*BP46))</f>
        <v>0</v>
      </c>
      <c r="O46" s="40"/>
      <c r="P46" s="74">
        <f>IF(BT46=0,0,($BC46*(1+$BD$7)^3/$BD46*BT46))</f>
        <v>0</v>
      </c>
      <c r="Q46" s="40"/>
      <c r="R46" s="74">
        <f>IF(BX46=0,0,($BC46*(1+$BD$7)^4/$BD46*BX46))</f>
        <v>0</v>
      </c>
      <c r="S46" s="40"/>
      <c r="T46" s="74">
        <f>IF(CB46=0,0,($BC46*(1+$BD$7)^5/$BD46*CB46))</f>
        <v>0</v>
      </c>
      <c r="V46" s="74">
        <f>IF(CF46=0,0,($BC46*(1+$BD$7)^6/$BD46*CF46))</f>
        <v>0</v>
      </c>
      <c r="W46" s="40"/>
      <c r="X46" s="74">
        <f t="shared" si="24"/>
        <v>0</v>
      </c>
      <c r="Y46" s="40"/>
      <c r="Z46" s="74">
        <f t="shared" si="25"/>
        <v>0</v>
      </c>
      <c r="AA46" s="40"/>
      <c r="AB46" s="74">
        <f t="shared" si="26"/>
        <v>0</v>
      </c>
      <c r="AC46" s="74"/>
      <c r="AD46" s="74">
        <f>J46+L46+N46+P46+R46+T46+V46+X46+Z46+AB46</f>
        <v>0</v>
      </c>
      <c r="AE46" s="74"/>
      <c r="AF46" s="321">
        <f>IF(BH46=0,0,($BC46/$BD46*BH46))*0</f>
        <v>0</v>
      </c>
      <c r="AH46" s="321">
        <f t="shared" si="0"/>
        <v>0</v>
      </c>
      <c r="AI46" s="40"/>
      <c r="AJ46" s="321">
        <f t="shared" si="4"/>
        <v>0</v>
      </c>
      <c r="AK46" s="40"/>
      <c r="AL46" s="321">
        <f t="shared" si="5"/>
        <v>0</v>
      </c>
      <c r="AM46" s="40"/>
      <c r="AN46" s="321">
        <f t="shared" si="6"/>
        <v>0</v>
      </c>
      <c r="AO46" s="40"/>
      <c r="AP46" s="321">
        <f t="shared" si="7"/>
        <v>0</v>
      </c>
      <c r="AR46" s="321">
        <f t="shared" si="8"/>
        <v>0</v>
      </c>
      <c r="AS46" s="40"/>
      <c r="AT46" s="321">
        <f t="shared" si="9"/>
        <v>0</v>
      </c>
      <c r="AU46" s="40"/>
      <c r="AV46" s="321">
        <f t="shared" si="10"/>
        <v>0</v>
      </c>
      <c r="AW46" s="40"/>
      <c r="AX46" s="321">
        <f t="shared" si="11"/>
        <v>0</v>
      </c>
      <c r="AY46" s="74"/>
      <c r="AZ46" s="321">
        <f>AF46+AH46+AJ46+AL46+AN46+AP46+AR46+AT46+AV46+AX46</f>
        <v>0</v>
      </c>
      <c r="BA46" s="40"/>
      <c r="BC46" s="110"/>
      <c r="BD46" s="111">
        <v>12</v>
      </c>
      <c r="BE46" s="116" t="s">
        <v>82</v>
      </c>
      <c r="BF46" s="113">
        <v>0</v>
      </c>
      <c r="BG46" s="114">
        <v>0</v>
      </c>
      <c r="BH46" s="76">
        <f>BF46*BG46</f>
        <v>0</v>
      </c>
      <c r="BI46" s="50"/>
      <c r="BJ46" s="113">
        <f>IF($BD$15=1,0,BF46)</f>
        <v>0</v>
      </c>
      <c r="BK46" s="114">
        <f>IF($BD$15=1,0,BG46)</f>
        <v>0</v>
      </c>
      <c r="BL46" s="76">
        <f>BJ46*BK46</f>
        <v>0</v>
      </c>
      <c r="BM46" s="50"/>
      <c r="BN46" s="113">
        <f>IF($BD$15=2,0,BJ46)</f>
        <v>0</v>
      </c>
      <c r="BO46" s="114">
        <f>IF($BD$15=2,0,BK46)</f>
        <v>0</v>
      </c>
      <c r="BP46" s="76">
        <f>BN46*BO46</f>
        <v>0</v>
      </c>
      <c r="BQ46" s="50"/>
      <c r="BR46" s="113">
        <f>IF($BD$15=3,0,BN46)</f>
        <v>0</v>
      </c>
      <c r="BS46" s="114">
        <f>IF($BD$15=3,0,BO46)</f>
        <v>0</v>
      </c>
      <c r="BT46" s="76">
        <f>BR46*BS46</f>
        <v>0</v>
      </c>
      <c r="BU46" s="50"/>
      <c r="BV46" s="113">
        <f>IF($BD$15=4,0,BR46)</f>
        <v>0</v>
      </c>
      <c r="BW46" s="114">
        <f>IF($BD$15=4,0,BS46)</f>
        <v>0</v>
      </c>
      <c r="BX46" s="76">
        <f>BV46*BW46</f>
        <v>0</v>
      </c>
      <c r="BY46" s="115"/>
      <c r="BZ46" s="113">
        <f t="shared" si="23"/>
        <v>0</v>
      </c>
      <c r="CA46" s="114">
        <f t="shared" si="12"/>
        <v>0</v>
      </c>
      <c r="CB46" s="76">
        <f>BZ46*CA46</f>
        <v>0</v>
      </c>
      <c r="CC46" s="50"/>
      <c r="CD46" s="113">
        <f t="shared" si="13"/>
        <v>0</v>
      </c>
      <c r="CE46" s="114">
        <f t="shared" si="14"/>
        <v>0</v>
      </c>
      <c r="CF46" s="76">
        <f>CD46*CE46</f>
        <v>0</v>
      </c>
      <c r="CG46" s="50"/>
      <c r="CH46" s="113">
        <f t="shared" si="15"/>
        <v>0</v>
      </c>
      <c r="CI46" s="114">
        <f t="shared" si="16"/>
        <v>0</v>
      </c>
      <c r="CJ46" s="76">
        <f>CH46*CI46</f>
        <v>0</v>
      </c>
      <c r="CK46" s="50"/>
      <c r="CL46" s="113">
        <f t="shared" si="17"/>
        <v>0</v>
      </c>
      <c r="CM46" s="114">
        <f t="shared" si="18"/>
        <v>0</v>
      </c>
      <c r="CN46" s="76">
        <f>CL46*CM46</f>
        <v>0</v>
      </c>
      <c r="CO46" s="50"/>
      <c r="CP46" s="113">
        <f t="shared" si="19"/>
        <v>0</v>
      </c>
      <c r="CQ46" s="114">
        <f t="shared" si="20"/>
        <v>0</v>
      </c>
      <c r="CR46" s="76">
        <f>CP46*CQ46</f>
        <v>0</v>
      </c>
      <c r="CS46" s="115">
        <f t="shared" si="21"/>
        <v>0</v>
      </c>
    </row>
    <row r="47" spans="1:97" ht="16.5" customHeight="1" x14ac:dyDescent="0.25">
      <c r="A47" s="32"/>
      <c r="B47" s="10"/>
      <c r="C47" s="73" t="s">
        <v>52</v>
      </c>
      <c r="G47" s="63" t="s">
        <v>388</v>
      </c>
      <c r="H47" s="67">
        <v>1</v>
      </c>
      <c r="I47" s="9"/>
      <c r="M47" s="40"/>
      <c r="N47" s="74"/>
      <c r="O47" s="40"/>
      <c r="P47" s="74"/>
      <c r="Q47" s="40"/>
      <c r="R47" s="74"/>
      <c r="S47" s="40"/>
      <c r="W47" s="40"/>
      <c r="X47" s="74"/>
      <c r="Y47" s="40"/>
      <c r="Z47" s="74"/>
      <c r="AA47" s="40"/>
      <c r="AB47" s="74"/>
      <c r="AC47" s="74"/>
      <c r="AD47" s="74"/>
      <c r="AE47" s="74"/>
      <c r="AI47" s="40"/>
      <c r="AJ47" s="321"/>
      <c r="AK47" s="40"/>
      <c r="AL47" s="321"/>
      <c r="AM47" s="40"/>
      <c r="AN47" s="321"/>
      <c r="AO47" s="40"/>
      <c r="AS47" s="40"/>
      <c r="AT47" s="321"/>
      <c r="AU47" s="40"/>
      <c r="AV47" s="321"/>
      <c r="AW47" s="40"/>
      <c r="AX47" s="321"/>
      <c r="AY47" s="74"/>
      <c r="AZ47" s="321"/>
      <c r="BC47" s="117"/>
      <c r="BD47" s="111"/>
      <c r="BE47" s="116"/>
      <c r="BF47" s="113"/>
      <c r="BG47" s="114"/>
      <c r="BH47" s="76"/>
      <c r="BI47" s="50"/>
      <c r="BJ47" s="113"/>
      <c r="BK47" s="114"/>
      <c r="BL47" s="76"/>
      <c r="BM47" s="50"/>
      <c r="BN47" s="113"/>
      <c r="BO47" s="114"/>
      <c r="BP47" s="76"/>
      <c r="BQ47" s="50"/>
      <c r="BR47" s="113"/>
      <c r="BS47" s="114"/>
      <c r="BT47" s="76"/>
      <c r="BU47" s="50"/>
      <c r="BV47" s="113"/>
      <c r="BW47" s="114"/>
      <c r="BX47" s="76"/>
      <c r="BY47" s="115"/>
      <c r="BZ47" s="113"/>
      <c r="CA47" s="114"/>
      <c r="CB47" s="76"/>
      <c r="CC47" s="50"/>
      <c r="CD47" s="113"/>
      <c r="CE47" s="114"/>
      <c r="CF47" s="76"/>
      <c r="CG47" s="50"/>
      <c r="CH47" s="113"/>
      <c r="CI47" s="114"/>
      <c r="CJ47" s="76"/>
      <c r="CK47" s="50"/>
      <c r="CL47" s="113"/>
      <c r="CM47" s="114"/>
      <c r="CN47" s="76"/>
      <c r="CO47" s="50"/>
      <c r="CP47" s="113"/>
      <c r="CQ47" s="114"/>
      <c r="CR47" s="76"/>
      <c r="CS47" s="115"/>
    </row>
    <row r="48" spans="1:97" ht="16.5" customHeight="1" x14ac:dyDescent="0.25">
      <c r="A48" s="32" t="s">
        <v>52</v>
      </c>
      <c r="B48" s="10"/>
      <c r="D48" s="53" t="str">
        <f>((BF48*100)&amp;"%"&amp;" time, "&amp;BG48&amp;" months, "&amp;BE48)</f>
        <v>50% time, 9 months, AY</v>
      </c>
      <c r="E48" s="53"/>
      <c r="G48" s="68"/>
      <c r="H48" s="54"/>
      <c r="I48" s="9"/>
      <c r="J48" s="74">
        <f>IF(BH48=0,0,($BC48/$BD48*BH48))</f>
        <v>0</v>
      </c>
      <c r="L48" s="74">
        <f>IF(BL48=0,0,($BC48*(1+$BD$7)/$BD48*BL48))</f>
        <v>0</v>
      </c>
      <c r="M48" s="40"/>
      <c r="N48" s="74">
        <f>IF(BP48=0,0,($BC48*(1+$BD$7)^2/$BD48*BP48))</f>
        <v>0</v>
      </c>
      <c r="O48" s="40"/>
      <c r="P48" s="74">
        <f>IF(BT48=0,0,($BC48*(1+$BD$7)^3/$BD48*BT48))</f>
        <v>0</v>
      </c>
      <c r="Q48" s="40"/>
      <c r="R48" s="74">
        <f>IF(BX48=0,0,($BC48*(1+$BD$7)^4/$BD48*BX48))</f>
        <v>0</v>
      </c>
      <c r="S48" s="40"/>
      <c r="T48" s="74">
        <f>IF(CB48=0,0,($BC48*(1+$BD$7)^5/$BD48*CB48))</f>
        <v>0</v>
      </c>
      <c r="V48" s="74">
        <f>IF(CF48=0,0,($BC48*(1+$BD$7)^6/$BD48*CF48))</f>
        <v>0</v>
      </c>
      <c r="W48" s="40"/>
      <c r="X48" s="74">
        <f>IF(CJ48=0,0,($BC48*(1+$BD$7)^7/$BD48*CJ48))</f>
        <v>0</v>
      </c>
      <c r="Y48" s="40"/>
      <c r="Z48" s="74">
        <f>IF(CN48=0,0,($BC48*(1+$BD$7)^8/$BD48*CN48))</f>
        <v>0</v>
      </c>
      <c r="AA48" s="40"/>
      <c r="AB48" s="74">
        <f>IF(CR48=0,0,($BC48*(1+$BD$7)^9/$BD48*CR48))</f>
        <v>0</v>
      </c>
      <c r="AC48" s="74"/>
      <c r="AD48" s="74">
        <f>J48+L48+N48+P48+R48+T48+V48+X48+Z48+AB48</f>
        <v>0</v>
      </c>
      <c r="AE48" s="74"/>
      <c r="AF48" s="321">
        <f>IF(BH48=0,0,($BC48/$BD48*BH48))*0</f>
        <v>0</v>
      </c>
      <c r="AH48" s="321">
        <f>IF(BL48=0,0,($BC48*(1+$BD$7)/$BD48*BL48))*0</f>
        <v>0</v>
      </c>
      <c r="AI48" s="40"/>
      <c r="AJ48" s="321">
        <f>IF(BP48=0,0,($BC48*(1+$BD$7)^2/$BD48*BP48))*0</f>
        <v>0</v>
      </c>
      <c r="AK48" s="40"/>
      <c r="AL48" s="321">
        <f>IF(BT48=0,0,($BC48*(1+$BD$7)^3/$BD48*BT48))*0</f>
        <v>0</v>
      </c>
      <c r="AM48" s="40"/>
      <c r="AN48" s="321">
        <f>IF(BX48=0,0,($BC48*(1+$BD$7)^4/$BD48*BX48))*0</f>
        <v>0</v>
      </c>
      <c r="AO48" s="40"/>
      <c r="AP48" s="321">
        <f>IF(CB48=0,0,($BC48*(1+$BD$7)^5/$BD48*CB48))*0*H47</f>
        <v>0</v>
      </c>
      <c r="AR48" s="321">
        <f>IF(CF48=0,0,($BC48*(1+$BD$7)^6/$BD48*CF48))*0*H47</f>
        <v>0</v>
      </c>
      <c r="AS48" s="40"/>
      <c r="AT48" s="321">
        <f>IF(CJ48=0,0,($BC48*(1+$BD$7)^7/$BD48*CJ48))*0*H47</f>
        <v>0</v>
      </c>
      <c r="AU48" s="40"/>
      <c r="AV48" s="321">
        <f>IF(CN48=0,0,($BC48*(1+$BD$7)^8/$BD48*CN48))*0*H47</f>
        <v>0</v>
      </c>
      <c r="AW48" s="40"/>
      <c r="AX48" s="321">
        <f>IF(CR48=0,0,($BC48*(1+$BD$7)^9/$BD48*CR48))*0*H47</f>
        <v>0</v>
      </c>
      <c r="AY48" s="74"/>
      <c r="AZ48" s="321">
        <f>AF48+AH48+AJ48+AL48+AN48+AP48+AR48+AT48+AV48+AX48</f>
        <v>0</v>
      </c>
      <c r="BC48" s="110"/>
      <c r="BD48" s="111">
        <v>9</v>
      </c>
      <c r="BE48" s="116" t="s">
        <v>83</v>
      </c>
      <c r="BF48" s="113">
        <v>0.5</v>
      </c>
      <c r="BG48" s="114">
        <v>9</v>
      </c>
      <c r="BH48" s="76">
        <f>BF48*BG48*H47</f>
        <v>4.5</v>
      </c>
      <c r="BI48" s="50"/>
      <c r="BJ48" s="113">
        <f>IF($BD$15=1,0,BF48)</f>
        <v>0.5</v>
      </c>
      <c r="BK48" s="114">
        <f>IF($BD$15=1,0,BG48)</f>
        <v>9</v>
      </c>
      <c r="BL48" s="76">
        <f>BJ48*BK48*H47</f>
        <v>4.5</v>
      </c>
      <c r="BM48" s="50"/>
      <c r="BN48" s="113">
        <f>IF($BD$15=2,0,BJ48)</f>
        <v>0.5</v>
      </c>
      <c r="BO48" s="114">
        <f>IF($BD$15=2,0,BK48)</f>
        <v>9</v>
      </c>
      <c r="BP48" s="76">
        <f>BN48*BO48*H47</f>
        <v>4.5</v>
      </c>
      <c r="BQ48" s="50"/>
      <c r="BR48" s="113">
        <f>IF($BD$15=3,0,BN48)</f>
        <v>0.5</v>
      </c>
      <c r="BS48" s="114">
        <f>IF($BD$15=3,0,BO48)</f>
        <v>9</v>
      </c>
      <c r="BT48" s="76">
        <f>BR48*BS48*H47</f>
        <v>4.5</v>
      </c>
      <c r="BU48" s="50"/>
      <c r="BV48" s="113">
        <f>IF($BD$15=4,0,BR48)</f>
        <v>0.5</v>
      </c>
      <c r="BW48" s="114">
        <f>IF($BD$15=4,0,BS48)</f>
        <v>9</v>
      </c>
      <c r="BX48" s="76">
        <f>BV48*BW48*H47</f>
        <v>4.5</v>
      </c>
      <c r="BY48" s="115"/>
      <c r="BZ48" s="113">
        <f t="shared" ref="BZ48:CA58" si="27">IF($BD$15=5,0,BV48)</f>
        <v>0</v>
      </c>
      <c r="CA48" s="114">
        <f t="shared" si="27"/>
        <v>0</v>
      </c>
      <c r="CB48" s="76">
        <f>BZ48*CA48*H47</f>
        <v>0</v>
      </c>
      <c r="CC48" s="50"/>
      <c r="CD48" s="113">
        <f>IF($BD$15=6,0,BZ48)</f>
        <v>0</v>
      </c>
      <c r="CE48" s="114">
        <f t="shared" ref="CE48:CE58" si="28">IF($BD$15=6,0,CA48)</f>
        <v>0</v>
      </c>
      <c r="CF48" s="76">
        <f>CD48*CE48*H47</f>
        <v>0</v>
      </c>
      <c r="CG48" s="50"/>
      <c r="CH48" s="113">
        <f>IF($BD$15=7,0,CD48)</f>
        <v>0</v>
      </c>
      <c r="CI48" s="114">
        <f t="shared" ref="CI48:CI58" si="29">IF($BD$15=7,0,CE48)</f>
        <v>0</v>
      </c>
      <c r="CJ48" s="76">
        <f>CH48*CI48*H47</f>
        <v>0</v>
      </c>
      <c r="CK48" s="50"/>
      <c r="CL48" s="113">
        <f t="shared" ref="CL48:CM58" si="30">IF($BD$15=8,0,CH48)</f>
        <v>0</v>
      </c>
      <c r="CM48" s="114">
        <f t="shared" si="30"/>
        <v>0</v>
      </c>
      <c r="CN48" s="76">
        <f>CL48*CM48*H47</f>
        <v>0</v>
      </c>
      <c r="CO48" s="50"/>
      <c r="CP48" s="113">
        <f t="shared" ref="CP48:CQ58" si="31">IF($BD$15=9,0,CL48)</f>
        <v>0</v>
      </c>
      <c r="CQ48" s="114">
        <f t="shared" si="31"/>
        <v>0</v>
      </c>
      <c r="CR48" s="76">
        <f>CP48*CQ48*H47</f>
        <v>0</v>
      </c>
      <c r="CS48" s="115">
        <f t="shared" ref="CS48:CS58" si="32">BX48+BT48+BP48+BL48+BH48+CB48+CF48+CJ48+CN48+CR48</f>
        <v>22.5</v>
      </c>
    </row>
    <row r="49" spans="1:97" ht="16.5" customHeight="1" x14ac:dyDescent="0.25">
      <c r="A49" s="32" t="s">
        <v>52</v>
      </c>
      <c r="B49" s="10"/>
      <c r="D49" s="53" t="str">
        <f>((BF49*100)&amp;"%"&amp;" time, "&amp;BG49&amp;" months, "&amp;BE49)</f>
        <v>100% time, 3 months, Summer</v>
      </c>
      <c r="E49" s="53"/>
      <c r="G49" s="68"/>
      <c r="H49" s="54"/>
      <c r="I49" s="9"/>
      <c r="J49" s="74">
        <f>IF(BH49=0,0,($BC49/$BD49*BH49))</f>
        <v>0</v>
      </c>
      <c r="L49" s="74">
        <f>IF(BL49=0,0,($BC49*(1+$BD$7)/$BD49*BL49))</f>
        <v>0</v>
      </c>
      <c r="M49" s="40"/>
      <c r="N49" s="74">
        <f>IF(BP49=0,0,($BC49*(1+$BD$7)^2/$BD49*BP49))</f>
        <v>0</v>
      </c>
      <c r="O49" s="40"/>
      <c r="P49" s="74">
        <f>IF(BT49=0,0,($BC49*(1+$BD$7)^3/$BD49*BT49))</f>
        <v>0</v>
      </c>
      <c r="Q49" s="40"/>
      <c r="R49" s="74">
        <f>IF(BX49=0,0,($BC49*(1+$BD$7)^4/$BD49*BX49))</f>
        <v>0</v>
      </c>
      <c r="S49" s="40"/>
      <c r="T49" s="74">
        <f>IF(CB49=0,0,($BC49*(1+$BD$7)^5/$BD49*CB49))</f>
        <v>0</v>
      </c>
      <c r="V49" s="74">
        <f>IF(CD49=0,0,($BC49*(1+$BD$7)^5/$BD49*CD49))</f>
        <v>0</v>
      </c>
      <c r="W49" s="74"/>
      <c r="X49" s="74">
        <f>IF(CF49=0,0,($BC49*(1+$BD$7)^5/$BD49*CF49))</f>
        <v>0</v>
      </c>
      <c r="Y49" s="74"/>
      <c r="Z49" s="74">
        <f>IF(CH49=0,0,($BC49*(1+$BD$7)^5/$BD49*CH49))</f>
        <v>0</v>
      </c>
      <c r="AA49" s="74"/>
      <c r="AB49" s="74">
        <f>IF(CJ49=0,0,($BC49*(1+$BD$7)^5/$BD49*CJ49))</f>
        <v>0</v>
      </c>
      <c r="AC49" s="74"/>
      <c r="AD49" s="74">
        <f>J49+L49+N49+P49+R49+T49+V49+X49+Z49+AB49</f>
        <v>0</v>
      </c>
      <c r="AE49" s="74"/>
      <c r="AF49" s="321">
        <f>IF(BH49=0,0,($BC49/$BD49*BH49))*0</f>
        <v>0</v>
      </c>
      <c r="AH49" s="321">
        <f>IF(BL49=0,0,($BC49*(1+$BD$7)/$BD49*BL49))*0</f>
        <v>0</v>
      </c>
      <c r="AI49" s="40"/>
      <c r="AJ49" s="321">
        <f>IF(BP49=0,0,($BC49*(1+$BD$7)^2/$BD49*BP49))*0</f>
        <v>0</v>
      </c>
      <c r="AK49" s="40"/>
      <c r="AL49" s="321">
        <f>IF(BT49=0,0,($BC49*(1+$BD$7)^3/$BD49*BT49))*0</f>
        <v>0</v>
      </c>
      <c r="AM49" s="40"/>
      <c r="AN49" s="321">
        <f>IF(BX49=0,0,($BC49*(1+$BD$7)^4/$BD49*BX49))*0</f>
        <v>0</v>
      </c>
      <c r="AO49" s="40"/>
      <c r="AP49" s="321">
        <f>IF(CB49=0,0,($BC49*(1+$BD$7)^5/$BD49*CB49))*0*H47</f>
        <v>0</v>
      </c>
      <c r="AR49" s="321">
        <f>IF(CF49=0,0,($BC49*(1+$BD$7)^6/$BD49*CF49))*0*H47</f>
        <v>0</v>
      </c>
      <c r="AS49" s="40"/>
      <c r="AT49" s="321">
        <f>IF(CJ49=0,0,($BC49*(1+$BD$7)^7/$BD49*CJ49))*0*H47</f>
        <v>0</v>
      </c>
      <c r="AU49" s="40"/>
      <c r="AV49" s="321">
        <f>IF(CN49=0,0,($BC49*(1+$BD$7)^8/$BD49*CN49))*0*H47</f>
        <v>0</v>
      </c>
      <c r="AW49" s="40"/>
      <c r="AX49" s="321">
        <f>IF(CR49=0,0,($BC49*(1+$BD$7)^9/$BD49*CR49))*0*H47</f>
        <v>0</v>
      </c>
      <c r="AY49" s="74"/>
      <c r="AZ49" s="321">
        <f>AF49+AH49+AJ49+AL49+AN49+AP49+AR49+AT49+AV49+AX49</f>
        <v>0</v>
      </c>
      <c r="BC49" s="110"/>
      <c r="BD49" s="111">
        <v>3</v>
      </c>
      <c r="BE49" s="116" t="s">
        <v>84</v>
      </c>
      <c r="BF49" s="113">
        <v>1</v>
      </c>
      <c r="BG49" s="114">
        <v>3</v>
      </c>
      <c r="BH49" s="76">
        <f>BF49*BG49*H47</f>
        <v>3</v>
      </c>
      <c r="BI49" s="50"/>
      <c r="BJ49" s="113">
        <f>IF($BD$15=1,0,BF49)</f>
        <v>1</v>
      </c>
      <c r="BK49" s="114">
        <f>IF($BD$15=1,0,BG49)</f>
        <v>3</v>
      </c>
      <c r="BL49" s="76">
        <f>BJ49*BK49*H47</f>
        <v>3</v>
      </c>
      <c r="BM49" s="50"/>
      <c r="BN49" s="113">
        <f>IF($BD$15=2,0,BJ49)</f>
        <v>1</v>
      </c>
      <c r="BO49" s="114">
        <f>IF($BD$15=2,0,BK49)</f>
        <v>3</v>
      </c>
      <c r="BP49" s="76">
        <f>BN49*BO49*H47</f>
        <v>3</v>
      </c>
      <c r="BQ49" s="50"/>
      <c r="BR49" s="113">
        <f>IF($BD$15=3,0,BN49)</f>
        <v>1</v>
      </c>
      <c r="BS49" s="114">
        <f>IF($BD$15=3,0,BO49)</f>
        <v>3</v>
      </c>
      <c r="BT49" s="76">
        <f>BR49*BS49*H47</f>
        <v>3</v>
      </c>
      <c r="BU49" s="50"/>
      <c r="BV49" s="113">
        <f>IF($BD$15=4,0,BR49)</f>
        <v>1</v>
      </c>
      <c r="BW49" s="114">
        <f>IF($BD$15=4,0,BS49)</f>
        <v>3</v>
      </c>
      <c r="BX49" s="76">
        <f>BV49*BW49*H47</f>
        <v>3</v>
      </c>
      <c r="BY49" s="115"/>
      <c r="BZ49" s="113">
        <f t="shared" si="27"/>
        <v>0</v>
      </c>
      <c r="CA49" s="114">
        <f t="shared" si="27"/>
        <v>0</v>
      </c>
      <c r="CB49" s="76">
        <f>BZ49*CA49*H47</f>
        <v>0</v>
      </c>
      <c r="CC49" s="50"/>
      <c r="CD49" s="113">
        <f t="shared" ref="CD49:CD58" si="33">IF($BD$15=6,0,BZ49)</f>
        <v>0</v>
      </c>
      <c r="CE49" s="114">
        <f t="shared" si="28"/>
        <v>0</v>
      </c>
      <c r="CF49" s="76">
        <f>CD49*CE49*H47</f>
        <v>0</v>
      </c>
      <c r="CG49" s="50"/>
      <c r="CH49" s="113">
        <f t="shared" ref="CH49:CH58" si="34">IF($BD$15=7,0,CD49)</f>
        <v>0</v>
      </c>
      <c r="CI49" s="114">
        <f>IF($BD$15=7,0,CE49)</f>
        <v>0</v>
      </c>
      <c r="CJ49" s="76">
        <f>CH49*CI49*H47</f>
        <v>0</v>
      </c>
      <c r="CK49" s="50"/>
      <c r="CL49" s="113">
        <f t="shared" si="30"/>
        <v>0</v>
      </c>
      <c r="CM49" s="114">
        <f t="shared" si="30"/>
        <v>0</v>
      </c>
      <c r="CN49" s="76">
        <f>CL49*CM49*H47</f>
        <v>0</v>
      </c>
      <c r="CO49" s="50"/>
      <c r="CP49" s="113">
        <f>IF($BD$15=9,0,CL49)</f>
        <v>0</v>
      </c>
      <c r="CQ49" s="114">
        <f t="shared" si="31"/>
        <v>0</v>
      </c>
      <c r="CR49" s="76">
        <f>CP49*CQ49*H47</f>
        <v>0</v>
      </c>
      <c r="CS49" s="115">
        <f t="shared" si="32"/>
        <v>15</v>
      </c>
    </row>
    <row r="50" spans="1:97" x14ac:dyDescent="0.25">
      <c r="A50" s="32"/>
      <c r="C50" s="73" t="s">
        <v>52</v>
      </c>
      <c r="G50" s="63" t="s">
        <v>388</v>
      </c>
      <c r="H50" s="67">
        <v>1</v>
      </c>
      <c r="I50" s="9"/>
      <c r="M50" s="40"/>
      <c r="N50" s="40"/>
      <c r="O50" s="40"/>
      <c r="P50" s="40"/>
      <c r="Q50" s="40"/>
      <c r="R50" s="40"/>
      <c r="S50" s="40"/>
      <c r="W50" s="40"/>
      <c r="X50" s="74"/>
      <c r="Y50" s="40"/>
      <c r="Z50" s="74"/>
      <c r="AA50" s="40"/>
      <c r="AB50" s="74"/>
      <c r="AC50" s="40"/>
      <c r="AD50" s="74"/>
      <c r="AI50" s="40"/>
      <c r="AJ50" s="321"/>
      <c r="AK50" s="40"/>
      <c r="AL50" s="321"/>
      <c r="AM50" s="40"/>
      <c r="AN50" s="321"/>
      <c r="AO50" s="40"/>
      <c r="AS50" s="40"/>
      <c r="AT50" s="321"/>
      <c r="AU50" s="40"/>
      <c r="AV50" s="321"/>
      <c r="AW50" s="40"/>
      <c r="AX50" s="321"/>
      <c r="AY50" s="40"/>
      <c r="AZ50" s="321"/>
      <c r="BC50" s="110"/>
      <c r="BD50" s="111"/>
      <c r="BE50" s="116"/>
      <c r="BF50" s="113"/>
      <c r="BG50" s="114"/>
      <c r="BH50" s="76"/>
      <c r="BI50" s="50"/>
      <c r="BJ50" s="113"/>
      <c r="BK50" s="114"/>
      <c r="BL50" s="76"/>
      <c r="BM50" s="50"/>
      <c r="BN50" s="113"/>
      <c r="BO50" s="114"/>
      <c r="BP50" s="76"/>
      <c r="BQ50" s="50"/>
      <c r="BR50" s="113"/>
      <c r="BS50" s="114"/>
      <c r="BT50" s="76"/>
      <c r="BU50" s="50"/>
      <c r="BV50" s="113"/>
      <c r="BW50" s="114"/>
      <c r="BX50" s="76"/>
      <c r="BY50" s="115"/>
      <c r="BZ50" s="113"/>
      <c r="CA50" s="114"/>
      <c r="CB50" s="76"/>
      <c r="CC50" s="50"/>
      <c r="CD50" s="113"/>
      <c r="CE50" s="114"/>
      <c r="CF50" s="76"/>
      <c r="CG50" s="50"/>
      <c r="CH50" s="113"/>
      <c r="CI50" s="114"/>
      <c r="CJ50" s="76"/>
      <c r="CK50" s="50"/>
      <c r="CL50" s="113"/>
      <c r="CM50" s="114"/>
      <c r="CN50" s="76"/>
      <c r="CO50" s="50"/>
      <c r="CP50" s="113"/>
      <c r="CQ50" s="114"/>
      <c r="CR50" s="76"/>
      <c r="CS50" s="115"/>
    </row>
    <row r="51" spans="1:97" ht="16.5" customHeight="1" x14ac:dyDescent="0.25">
      <c r="A51" s="32" t="s">
        <v>52</v>
      </c>
      <c r="B51" s="10"/>
      <c r="D51" s="53" t="str">
        <f>((BF51*100)&amp;"%"&amp;" time, "&amp;BG51&amp;" months, "&amp;BE51)</f>
        <v>50% time, 9 months, AY</v>
      </c>
      <c r="E51" s="53"/>
      <c r="G51" s="63"/>
      <c r="H51" s="63"/>
      <c r="I51" s="9"/>
      <c r="J51" s="74">
        <f>IF(BH51=0,0,($BC51/$BD51*BH51))</f>
        <v>0</v>
      </c>
      <c r="L51" s="74">
        <f>IF(BL51=0,0,($BC51*(1+$BD$7)/$BD51*BL51))</f>
        <v>0</v>
      </c>
      <c r="M51" s="40"/>
      <c r="N51" s="74">
        <f>IF(BP51=0,0,($BC51*(1+$BD$7)^2/$BD51*BP51))</f>
        <v>0</v>
      </c>
      <c r="O51" s="40"/>
      <c r="P51" s="74">
        <f>IF(BT51=0,0,($BC51*(1+$BD$7)^3/$BD51*BT51))</f>
        <v>0</v>
      </c>
      <c r="Q51" s="40"/>
      <c r="R51" s="74">
        <f>IF(BX51=0,0,($BC51*(1+$BD$7)^4/$BD51*BX51))</f>
        <v>0</v>
      </c>
      <c r="S51" s="40"/>
      <c r="T51" s="74">
        <f>IF(CB51=0,0,($BC51*(1+$BD$7)^5/$BD51*CB51))</f>
        <v>0</v>
      </c>
      <c r="V51" s="74">
        <f>IF(CF51=0,0,($BC51*(1+$BD$7)^6/$BD51*CF51))</f>
        <v>0</v>
      </c>
      <c r="W51" s="40"/>
      <c r="X51" s="74">
        <f>IF(CJ51=0,0,($BC51*(1+$BD$7)^7/$BD51*CJ51))</f>
        <v>0</v>
      </c>
      <c r="Y51" s="40"/>
      <c r="Z51" s="74">
        <f>IF(CN51=0,0,($BC51*(1+$BD$7)^8/$BD51*CN51))</f>
        <v>0</v>
      </c>
      <c r="AA51" s="40"/>
      <c r="AB51" s="74">
        <f>IF(CR51=0,0,($BC51*(1+$BD$7)^9/$BD51*CR51))</f>
        <v>0</v>
      </c>
      <c r="AC51" s="74"/>
      <c r="AD51" s="74">
        <f>J51+L51+N51+P51+R51+T51+V51+X51+Z51+AB51</f>
        <v>0</v>
      </c>
      <c r="AE51" s="74"/>
      <c r="AF51" s="321">
        <f>IF(BH51=0,0,($BC51/$BD51*BH51))*0</f>
        <v>0</v>
      </c>
      <c r="AH51" s="321">
        <f>IF(BL51=0,0,($BC51*(1+$BD$7)/$BD51*BL51))*0</f>
        <v>0</v>
      </c>
      <c r="AI51" s="40"/>
      <c r="AJ51" s="321">
        <f>IF(BP51=0,0,($BC51*(1+$BD$7)^2/$BD51*BP51))*0</f>
        <v>0</v>
      </c>
      <c r="AK51" s="40"/>
      <c r="AL51" s="321">
        <f>IF(BT51=0,0,($BC51*(1+$BD$7)^3/$BD51*BT51))*0</f>
        <v>0</v>
      </c>
      <c r="AM51" s="40"/>
      <c r="AN51" s="321">
        <f>IF(BX51=0,0,($BC51*(1+$BD$7)^4/$BD51*BX51))*0</f>
        <v>0</v>
      </c>
      <c r="AO51" s="40"/>
      <c r="AP51" s="321">
        <f>IF(CB51=0,0,($BC51*(1+$BD$7)^5/$BD51*CB51))*0*H50</f>
        <v>0</v>
      </c>
      <c r="AR51" s="321">
        <f>IF(CF51=0,0,($BC51*(1+$BD$7)^6/$BD51*CF51))*0*H50</f>
        <v>0</v>
      </c>
      <c r="AS51" s="40"/>
      <c r="AT51" s="321">
        <f>IF(CJ51=0,0,($BC51*(1+$BD$7)^7/$BD51*CJ51))*0*H50</f>
        <v>0</v>
      </c>
      <c r="AU51" s="40"/>
      <c r="AV51" s="321">
        <f>IF(CN51=0,0,($BC51*(1+$BD$7)^8/$BD51*CN51))*0*H50</f>
        <v>0</v>
      </c>
      <c r="AW51" s="40"/>
      <c r="AX51" s="321">
        <f>IF(CR51=0,0,($BC51*(1+$BD$7)^9/$BD51*CR51))*0*H50</f>
        <v>0</v>
      </c>
      <c r="AY51" s="74"/>
      <c r="AZ51" s="321">
        <f>AF51+AH51+AJ51+AL51+AN51+AP51+AR51+AT51+AV51+AX51</f>
        <v>0</v>
      </c>
      <c r="BC51" s="110"/>
      <c r="BD51" s="111">
        <v>9</v>
      </c>
      <c r="BE51" s="116" t="s">
        <v>83</v>
      </c>
      <c r="BF51" s="113">
        <v>0.5</v>
      </c>
      <c r="BG51" s="114">
        <v>9</v>
      </c>
      <c r="BH51" s="76">
        <f>BF51*BG51*H50</f>
        <v>4.5</v>
      </c>
      <c r="BI51" s="50"/>
      <c r="BJ51" s="113">
        <f>IF($BD$15=1,0,BF51)</f>
        <v>0.5</v>
      </c>
      <c r="BK51" s="114">
        <f>IF($BD$15=1,0,BG51)</f>
        <v>9</v>
      </c>
      <c r="BL51" s="76">
        <f>BJ51*BK51*H50</f>
        <v>4.5</v>
      </c>
      <c r="BM51" s="50"/>
      <c r="BN51" s="113">
        <f>IF($BD$15=2,0,BJ51)</f>
        <v>0.5</v>
      </c>
      <c r="BO51" s="114">
        <f>IF($BD$15=2,0,BK51)</f>
        <v>9</v>
      </c>
      <c r="BP51" s="76">
        <f>BN51*BO51*H50</f>
        <v>4.5</v>
      </c>
      <c r="BQ51" s="50"/>
      <c r="BR51" s="113">
        <f>IF($BD$15=3,0,BN51)</f>
        <v>0.5</v>
      </c>
      <c r="BS51" s="114">
        <f>IF($BD$15=3,0,BO51)</f>
        <v>9</v>
      </c>
      <c r="BT51" s="76">
        <f>BR51*BS51*H50</f>
        <v>4.5</v>
      </c>
      <c r="BU51" s="50"/>
      <c r="BV51" s="113">
        <f>IF($BD$15=4,0,BR51)</f>
        <v>0.5</v>
      </c>
      <c r="BW51" s="114">
        <f>IF($BD$15=4,0,BS51)</f>
        <v>9</v>
      </c>
      <c r="BX51" s="76">
        <f>BV51*BW51*H50</f>
        <v>4.5</v>
      </c>
      <c r="BY51" s="115"/>
      <c r="BZ51" s="113">
        <f t="shared" si="27"/>
        <v>0</v>
      </c>
      <c r="CA51" s="114">
        <f t="shared" si="27"/>
        <v>0</v>
      </c>
      <c r="CB51" s="76">
        <f>BZ51*CA51*H50</f>
        <v>0</v>
      </c>
      <c r="CC51" s="50"/>
      <c r="CD51" s="113">
        <f t="shared" si="33"/>
        <v>0</v>
      </c>
      <c r="CE51" s="114">
        <f t="shared" si="28"/>
        <v>0</v>
      </c>
      <c r="CF51" s="76">
        <f>CD51*CE51*H50</f>
        <v>0</v>
      </c>
      <c r="CG51" s="50"/>
      <c r="CH51" s="113">
        <f t="shared" si="34"/>
        <v>0</v>
      </c>
      <c r="CI51" s="114">
        <f t="shared" si="29"/>
        <v>0</v>
      </c>
      <c r="CJ51" s="76">
        <f>CH51*CI51*H50</f>
        <v>0</v>
      </c>
      <c r="CK51" s="50"/>
      <c r="CL51" s="113">
        <f t="shared" si="30"/>
        <v>0</v>
      </c>
      <c r="CM51" s="114">
        <f t="shared" si="30"/>
        <v>0</v>
      </c>
      <c r="CN51" s="76">
        <f>CL51*CM51*H50</f>
        <v>0</v>
      </c>
      <c r="CO51" s="50"/>
      <c r="CP51" s="113">
        <f t="shared" si="31"/>
        <v>0</v>
      </c>
      <c r="CQ51" s="114">
        <f t="shared" si="31"/>
        <v>0</v>
      </c>
      <c r="CR51" s="76">
        <f>CP51*CQ51*H50</f>
        <v>0</v>
      </c>
      <c r="CS51" s="115">
        <f t="shared" si="32"/>
        <v>22.5</v>
      </c>
    </row>
    <row r="52" spans="1:97" ht="16.5" customHeight="1" x14ac:dyDescent="0.25">
      <c r="A52" s="32" t="s">
        <v>52</v>
      </c>
      <c r="B52" s="10"/>
      <c r="D52" s="53" t="str">
        <f>((BF52*100)&amp;"%"&amp;" time, "&amp;BG52&amp;" months, "&amp;BE52)</f>
        <v>100% time, 3 months, Summer</v>
      </c>
      <c r="E52" s="53"/>
      <c r="G52" s="63"/>
      <c r="H52" s="63"/>
      <c r="I52" s="9"/>
      <c r="J52" s="74">
        <f>IF(BH52=0,0,($BC52/$BD52*BH52))</f>
        <v>0</v>
      </c>
      <c r="L52" s="74">
        <f>IF(BL52=0,0,($BC52*(1+$BD$7)/$BD52*BL52))</f>
        <v>0</v>
      </c>
      <c r="M52" s="40"/>
      <c r="N52" s="74">
        <f>IF(BP52=0,0,($BC52*(1+$BD$7)^2/$BD52*BP52))</f>
        <v>0</v>
      </c>
      <c r="O52" s="40"/>
      <c r="P52" s="74">
        <f>IF(BT52=0,0,($BC52*(1+$BD$7)^3/$BD52*BT52))</f>
        <v>0</v>
      </c>
      <c r="Q52" s="40"/>
      <c r="R52" s="74">
        <f>IF(BX52=0,0,($BC52*(1+$BD$7)^4/$BD52*BX52))</f>
        <v>0</v>
      </c>
      <c r="S52" s="40"/>
      <c r="T52" s="74">
        <f>IF(CB52=0,0,($BC52*(1+$BD$7)^5/$BD52*CB52))</f>
        <v>0</v>
      </c>
      <c r="V52" s="74">
        <f>IF(CF52=0,0,($BC52*(1+$BD$7)^6/$BD52*CF52))</f>
        <v>0</v>
      </c>
      <c r="W52" s="40"/>
      <c r="X52" s="74">
        <f>IF(CJ52=0,0,($BC52*(1+$BD$7)^7/$BD52*CJ52))</f>
        <v>0</v>
      </c>
      <c r="Y52" s="40"/>
      <c r="Z52" s="74">
        <f>IF(CN52=0,0,($BC52*(1+$BD$7)^8/$BD52*CN52))</f>
        <v>0</v>
      </c>
      <c r="AA52" s="40"/>
      <c r="AB52" s="74">
        <f>IF(CR52=0,0,($BC52*(1+$BD$7)^9/$BD52*CR52))</f>
        <v>0</v>
      </c>
      <c r="AC52" s="74"/>
      <c r="AD52" s="74">
        <f>J52+L52+N52+P52+R52+T52+V52+X52+Z52+AB52</f>
        <v>0</v>
      </c>
      <c r="AE52" s="74"/>
      <c r="AF52" s="321">
        <f>IF(BH52=0,0,($BC52/$BD52*BH52))*0</f>
        <v>0</v>
      </c>
      <c r="AH52" s="321">
        <f>IF(BL52=0,0,($BC52*(1+$BD$7)/$BD52*BL52))*0</f>
        <v>0</v>
      </c>
      <c r="AI52" s="40"/>
      <c r="AJ52" s="321">
        <f>IF(BP52=0,0,($BC52*(1+$BD$7)^2/$BD52*BP52))*0</f>
        <v>0</v>
      </c>
      <c r="AK52" s="40"/>
      <c r="AL52" s="321">
        <f>IF(BT52=0,0,($BC52*(1+$BD$7)^3/$BD52*BT52))*0</f>
        <v>0</v>
      </c>
      <c r="AM52" s="40"/>
      <c r="AN52" s="321">
        <f>IF(BX52=0,0,($BC52*(1+$BD$7)^4/$BD52*BX52))*0</f>
        <v>0</v>
      </c>
      <c r="AO52" s="40"/>
      <c r="AP52" s="321">
        <f>IF(CB52=0,0,($BC52*(1+$BD$7)^5/$BD52*CB52))*0*H50</f>
        <v>0</v>
      </c>
      <c r="AR52" s="321">
        <f>IF(CF52=0,0,($BC52*(1+$BD$7)^6/$BD52*CF52))*0*H50</f>
        <v>0</v>
      </c>
      <c r="AS52" s="40"/>
      <c r="AT52" s="321">
        <f>IF(CJ52=0,0,($BC52*(1+$BD$7)^7/$BD52*CJ52))*0*H50</f>
        <v>0</v>
      </c>
      <c r="AU52" s="40"/>
      <c r="AV52" s="321">
        <f>IF(CN52=0,0,($BC52*(1+$BD$7)^8/$BD52*CN52))*0*H50</f>
        <v>0</v>
      </c>
      <c r="AW52" s="40"/>
      <c r="AX52" s="321">
        <f>IF(CR52=0,0,($BC52*(1+$BD$7)^9/$BD52*CR52))*0*H50</f>
        <v>0</v>
      </c>
      <c r="AY52" s="74"/>
      <c r="AZ52" s="321">
        <f>AF52+AH52+AJ52+AL52+AN52+AP52+AR52+AT52+AV52+AX52</f>
        <v>0</v>
      </c>
      <c r="BC52" s="110"/>
      <c r="BD52" s="111">
        <v>3</v>
      </c>
      <c r="BE52" s="116" t="s">
        <v>84</v>
      </c>
      <c r="BF52" s="113">
        <v>1</v>
      </c>
      <c r="BG52" s="114">
        <v>3</v>
      </c>
      <c r="BH52" s="76">
        <f>BF52*BG52*H50</f>
        <v>3</v>
      </c>
      <c r="BI52" s="50"/>
      <c r="BJ52" s="113">
        <f>IF($BD$15=1,0,BF52)</f>
        <v>1</v>
      </c>
      <c r="BK52" s="114">
        <f>IF($BD$15=1,0,BG52)</f>
        <v>3</v>
      </c>
      <c r="BL52" s="76">
        <f>BJ52*BK52*H50</f>
        <v>3</v>
      </c>
      <c r="BM52" s="50"/>
      <c r="BN52" s="113">
        <f>IF($BD$15=2,0,BJ52)</f>
        <v>1</v>
      </c>
      <c r="BO52" s="114">
        <f>IF($BD$15=2,0,BK52)</f>
        <v>3</v>
      </c>
      <c r="BP52" s="76">
        <f>BN52*BO52*H50</f>
        <v>3</v>
      </c>
      <c r="BQ52" s="50"/>
      <c r="BR52" s="113">
        <f>IF($BD$15=3,0,BN52)</f>
        <v>1</v>
      </c>
      <c r="BS52" s="114">
        <f>IF($BD$15=3,0,BO52)</f>
        <v>3</v>
      </c>
      <c r="BT52" s="76">
        <f>BR52*BS52*H50</f>
        <v>3</v>
      </c>
      <c r="BU52" s="50"/>
      <c r="BV52" s="113">
        <f>IF($BD$15=4,0,BR52)</f>
        <v>1</v>
      </c>
      <c r="BW52" s="114">
        <f>IF($BD$15=4,0,BS52)</f>
        <v>3</v>
      </c>
      <c r="BX52" s="76">
        <f>BV52*BW52*H50</f>
        <v>3</v>
      </c>
      <c r="BY52" s="115"/>
      <c r="BZ52" s="113">
        <f t="shared" si="27"/>
        <v>0</v>
      </c>
      <c r="CA52" s="114">
        <f t="shared" si="27"/>
        <v>0</v>
      </c>
      <c r="CB52" s="76">
        <f>BZ52*CA52*H50</f>
        <v>0</v>
      </c>
      <c r="CC52" s="50"/>
      <c r="CD52" s="113">
        <f t="shared" si="33"/>
        <v>0</v>
      </c>
      <c r="CE52" s="114">
        <f t="shared" si="28"/>
        <v>0</v>
      </c>
      <c r="CF52" s="76">
        <f>CD52*CE52*H50</f>
        <v>0</v>
      </c>
      <c r="CG52" s="50"/>
      <c r="CH52" s="113">
        <f t="shared" si="34"/>
        <v>0</v>
      </c>
      <c r="CI52" s="114">
        <f t="shared" si="29"/>
        <v>0</v>
      </c>
      <c r="CJ52" s="76">
        <f>CH52*CI52*H50</f>
        <v>0</v>
      </c>
      <c r="CK52" s="50"/>
      <c r="CL52" s="113">
        <f t="shared" si="30"/>
        <v>0</v>
      </c>
      <c r="CM52" s="114">
        <f t="shared" si="30"/>
        <v>0</v>
      </c>
      <c r="CN52" s="76">
        <f>CL52*CM52*H50</f>
        <v>0</v>
      </c>
      <c r="CO52" s="50"/>
      <c r="CP52" s="113">
        <f t="shared" si="31"/>
        <v>0</v>
      </c>
      <c r="CQ52" s="114">
        <f t="shared" si="31"/>
        <v>0</v>
      </c>
      <c r="CR52" s="76">
        <f>CP52*CQ52*H50</f>
        <v>0</v>
      </c>
      <c r="CS52" s="115">
        <f t="shared" si="32"/>
        <v>15</v>
      </c>
    </row>
    <row r="53" spans="1:97" ht="16.5" customHeight="1" x14ac:dyDescent="0.25">
      <c r="A53" s="32"/>
      <c r="B53" s="10"/>
      <c r="C53" s="73" t="s">
        <v>52</v>
      </c>
      <c r="G53" s="63" t="s">
        <v>388</v>
      </c>
      <c r="H53" s="67">
        <v>1</v>
      </c>
      <c r="I53" s="9"/>
      <c r="M53" s="40"/>
      <c r="N53" s="74"/>
      <c r="O53" s="40"/>
      <c r="P53" s="74"/>
      <c r="Q53" s="40"/>
      <c r="R53" s="74"/>
      <c r="S53" s="40"/>
      <c r="W53" s="40"/>
      <c r="X53" s="74"/>
      <c r="Y53" s="40"/>
      <c r="Z53" s="74"/>
      <c r="AA53" s="40"/>
      <c r="AB53" s="74"/>
      <c r="AC53" s="74"/>
      <c r="AD53" s="74"/>
      <c r="AE53" s="74"/>
      <c r="AI53" s="40"/>
      <c r="AJ53" s="321"/>
      <c r="AK53" s="40"/>
      <c r="AL53" s="321"/>
      <c r="AM53" s="40"/>
      <c r="AN53" s="321"/>
      <c r="AO53" s="40"/>
      <c r="AS53" s="40"/>
      <c r="AT53" s="321"/>
      <c r="AU53" s="40"/>
      <c r="AV53" s="321"/>
      <c r="AW53" s="40"/>
      <c r="AX53" s="321"/>
      <c r="AY53" s="74"/>
      <c r="AZ53" s="321"/>
      <c r="BC53" s="110"/>
      <c r="BD53" s="111"/>
      <c r="BE53" s="116"/>
      <c r="BF53" s="113"/>
      <c r="BG53" s="114"/>
      <c r="BH53" s="76"/>
      <c r="BI53" s="50"/>
      <c r="BJ53" s="113"/>
      <c r="BK53" s="114"/>
      <c r="BL53" s="76"/>
      <c r="BM53" s="50"/>
      <c r="BN53" s="113"/>
      <c r="BO53" s="114"/>
      <c r="BP53" s="76"/>
      <c r="BQ53" s="50"/>
      <c r="BR53" s="113"/>
      <c r="BS53" s="114"/>
      <c r="BT53" s="76"/>
      <c r="BU53" s="50"/>
      <c r="BV53" s="113"/>
      <c r="BW53" s="114"/>
      <c r="BX53" s="76"/>
      <c r="BY53" s="115"/>
      <c r="BZ53" s="113"/>
      <c r="CA53" s="114"/>
      <c r="CB53" s="76"/>
      <c r="CC53" s="50"/>
      <c r="CD53" s="113"/>
      <c r="CE53" s="114"/>
      <c r="CF53" s="76"/>
      <c r="CG53" s="50"/>
      <c r="CH53" s="113"/>
      <c r="CI53" s="114"/>
      <c r="CJ53" s="76"/>
      <c r="CK53" s="50"/>
      <c r="CL53" s="113"/>
      <c r="CM53" s="114"/>
      <c r="CN53" s="76"/>
      <c r="CO53" s="50"/>
      <c r="CP53" s="113"/>
      <c r="CQ53" s="114"/>
      <c r="CR53" s="76"/>
      <c r="CS53" s="115"/>
    </row>
    <row r="54" spans="1:97" ht="16.5" customHeight="1" x14ac:dyDescent="0.25">
      <c r="A54" s="32" t="s">
        <v>52</v>
      </c>
      <c r="B54" s="10"/>
      <c r="D54" s="53" t="str">
        <f>((BF54*100)&amp;"%"&amp;" time, "&amp;BG54&amp;" months, "&amp;BE54)</f>
        <v>50% time, 9 months, AY</v>
      </c>
      <c r="E54" s="53"/>
      <c r="G54" s="63"/>
      <c r="H54" s="63"/>
      <c r="I54" s="9"/>
      <c r="J54" s="74">
        <f>IF(BH54=0,0,($BC54/$BD54*BH54))</f>
        <v>0</v>
      </c>
      <c r="L54" s="74">
        <f>IF(BL54=0,0,($BC54*(1+$BD$7)/$BD54*BL54))</f>
        <v>0</v>
      </c>
      <c r="M54" s="40"/>
      <c r="N54" s="74">
        <f>IF(BP54=0,0,($BC54*(1+$BD$7)^2/$BD54*BP54))</f>
        <v>0</v>
      </c>
      <c r="O54" s="40"/>
      <c r="P54" s="74">
        <f>IF(BT54=0,0,($BC54*(1+$BD$7)^3/$BD54*BT54))</f>
        <v>0</v>
      </c>
      <c r="Q54" s="40"/>
      <c r="R54" s="74">
        <f>IF(BX54=0,0,($BC54*(1+$BD$7)^4/$BD54*BX54))</f>
        <v>0</v>
      </c>
      <c r="S54" s="40"/>
      <c r="T54" s="74">
        <f>IF(CB54=0,0,($BC54*(1+$BD$7)^5/$BD54*CB54))</f>
        <v>0</v>
      </c>
      <c r="V54" s="74">
        <f>IF(CF54=0,0,($BC54*(1+$BD$7)^6/$BD54*CF54))</f>
        <v>0</v>
      </c>
      <c r="W54" s="40"/>
      <c r="X54" s="74">
        <f>IF(CJ54=0,0,($BC54*(1+$BD$7)^7/$BD54*CJ54))</f>
        <v>0</v>
      </c>
      <c r="Y54" s="40"/>
      <c r="Z54" s="74">
        <f>IF(CN54=0,0,($BC54*(1+$BD$7)^8/$BD54*CN54))</f>
        <v>0</v>
      </c>
      <c r="AA54" s="40"/>
      <c r="AB54" s="74">
        <f>IF(CR54=0,0,($BC54*(1+$BD$7)^9/$BD54*CR54))</f>
        <v>0</v>
      </c>
      <c r="AC54" s="74"/>
      <c r="AD54" s="74">
        <f>J54+L54+N54+P54+R54+T54+V54+X54+Z54+AB54</f>
        <v>0</v>
      </c>
      <c r="AE54" s="74"/>
      <c r="AF54" s="321">
        <f>IF(BH54=0,0,($BC54/$BD54*BH54))*0</f>
        <v>0</v>
      </c>
      <c r="AH54" s="321">
        <f>IF(BL54=0,0,($BC54*(1+$BD$7)/$BD54*BL54))*0</f>
        <v>0</v>
      </c>
      <c r="AI54" s="40"/>
      <c r="AJ54" s="321">
        <f>IF(BP54=0,0,($BC54*(1+$BD$7)^2/$BD54*BP54))*0</f>
        <v>0</v>
      </c>
      <c r="AK54" s="40"/>
      <c r="AL54" s="321">
        <f>IF(BT54=0,0,($BC54*(1+$BD$7)^3/$BD54*BT54))*0</f>
        <v>0</v>
      </c>
      <c r="AM54" s="40"/>
      <c r="AN54" s="321">
        <f>IF(BX54=0,0,($BC54*(1+$BD$7)^4/$BD54*BX54))*0</f>
        <v>0</v>
      </c>
      <c r="AO54" s="40"/>
      <c r="AP54" s="321">
        <f>IF(CB54=0,0,($BC54*(1+$BD$7)^5/$BD54*CB54))*0*H53</f>
        <v>0</v>
      </c>
      <c r="AR54" s="321">
        <f>IF(CF54=0,0,($BC54*(1+$BD$7)^6/$BD54*CF54))*0*H53</f>
        <v>0</v>
      </c>
      <c r="AS54" s="40"/>
      <c r="AT54" s="321">
        <f>IF(CJ54=0,0,($BC54*(1+$BD$7)^7/$BD54*CJ54))*0*H53</f>
        <v>0</v>
      </c>
      <c r="AU54" s="40"/>
      <c r="AV54" s="321">
        <f>IF(CN54=0,0,($BC54*(1+$BD$7)^8/$BD54*CN54))*0*H53</f>
        <v>0</v>
      </c>
      <c r="AW54" s="40"/>
      <c r="AX54" s="321">
        <f>IF(CR54=0,0,($BC54*(1+$BD$7)^9/$BD54*CR54))*0*H53</f>
        <v>0</v>
      </c>
      <c r="AY54" s="74"/>
      <c r="AZ54" s="321">
        <f>AF54+AH54+AJ54+AL54+AN54+AP54+AR54+AT54+AV54+AX54</f>
        <v>0</v>
      </c>
      <c r="BC54" s="110"/>
      <c r="BD54" s="111">
        <v>9</v>
      </c>
      <c r="BE54" s="116" t="s">
        <v>83</v>
      </c>
      <c r="BF54" s="113">
        <v>0.5</v>
      </c>
      <c r="BG54" s="114">
        <v>9</v>
      </c>
      <c r="BH54" s="76">
        <f>BF54*BG54*H53</f>
        <v>4.5</v>
      </c>
      <c r="BI54" s="50"/>
      <c r="BJ54" s="113">
        <f>IF($BD$15=1,0,BF54)</f>
        <v>0.5</v>
      </c>
      <c r="BK54" s="114">
        <f>IF($BD$15=1,0,BG54)</f>
        <v>9</v>
      </c>
      <c r="BL54" s="76">
        <f>BJ54*BK54*H53</f>
        <v>4.5</v>
      </c>
      <c r="BM54" s="50"/>
      <c r="BN54" s="113">
        <f>IF($BD$15=2,0,BJ54)</f>
        <v>0.5</v>
      </c>
      <c r="BO54" s="114">
        <f>IF($BD$15=2,0,BK54)</f>
        <v>9</v>
      </c>
      <c r="BP54" s="76">
        <f>BN54*BO54*H53</f>
        <v>4.5</v>
      </c>
      <c r="BQ54" s="50"/>
      <c r="BR54" s="113">
        <f>IF($BD$15=3,0,BN54)</f>
        <v>0.5</v>
      </c>
      <c r="BS54" s="114">
        <f>IF($BD$15=3,0,BO54)</f>
        <v>9</v>
      </c>
      <c r="BT54" s="76">
        <f>BR54*BS54*H53</f>
        <v>4.5</v>
      </c>
      <c r="BU54" s="50"/>
      <c r="BV54" s="113">
        <f>IF($BD$15=4,0,BR54)</f>
        <v>0.5</v>
      </c>
      <c r="BW54" s="114">
        <f>IF($BD$15=4,0,BS54)</f>
        <v>9</v>
      </c>
      <c r="BX54" s="76">
        <f>BV54*BW54*H53</f>
        <v>4.5</v>
      </c>
      <c r="BY54" s="115"/>
      <c r="BZ54" s="113">
        <f t="shared" si="27"/>
        <v>0</v>
      </c>
      <c r="CA54" s="114">
        <f t="shared" si="27"/>
        <v>0</v>
      </c>
      <c r="CB54" s="76">
        <f>BZ54*CA54*H53</f>
        <v>0</v>
      </c>
      <c r="CC54" s="50"/>
      <c r="CD54" s="113">
        <f t="shared" si="33"/>
        <v>0</v>
      </c>
      <c r="CE54" s="114">
        <f t="shared" si="28"/>
        <v>0</v>
      </c>
      <c r="CF54" s="76">
        <f>CD54*CE54*H53</f>
        <v>0</v>
      </c>
      <c r="CG54" s="50"/>
      <c r="CH54" s="113">
        <f t="shared" si="34"/>
        <v>0</v>
      </c>
      <c r="CI54" s="114">
        <f t="shared" si="29"/>
        <v>0</v>
      </c>
      <c r="CJ54" s="76">
        <f>CH54*CI54*H53</f>
        <v>0</v>
      </c>
      <c r="CK54" s="50"/>
      <c r="CL54" s="113">
        <f t="shared" si="30"/>
        <v>0</v>
      </c>
      <c r="CM54" s="114">
        <f t="shared" si="30"/>
        <v>0</v>
      </c>
      <c r="CN54" s="76">
        <f>CL54*CM54*H53</f>
        <v>0</v>
      </c>
      <c r="CO54" s="50"/>
      <c r="CP54" s="113">
        <f t="shared" si="31"/>
        <v>0</v>
      </c>
      <c r="CQ54" s="114">
        <f t="shared" si="31"/>
        <v>0</v>
      </c>
      <c r="CR54" s="76">
        <f>CP54*CQ54*H53</f>
        <v>0</v>
      </c>
      <c r="CS54" s="115">
        <f t="shared" si="32"/>
        <v>22.5</v>
      </c>
    </row>
    <row r="55" spans="1:97" ht="16.5" customHeight="1" x14ac:dyDescent="0.25">
      <c r="A55" s="32" t="s">
        <v>52</v>
      </c>
      <c r="B55" s="10"/>
      <c r="D55" s="53" t="str">
        <f>((BF55*100)&amp;"%"&amp;" time, "&amp;BG55&amp;" months, "&amp;BE55)</f>
        <v>100% time, 3 months, Summer</v>
      </c>
      <c r="E55" s="53"/>
      <c r="G55" s="63"/>
      <c r="H55" s="63"/>
      <c r="I55" s="9"/>
      <c r="J55" s="74">
        <f>IF(BH55=0,0,($BC55/$BD55*BH55))</f>
        <v>0</v>
      </c>
      <c r="L55" s="74">
        <f>IF(BL55=0,0,($BC55*(1+$BD$7)/$BD55*BL55))</f>
        <v>0</v>
      </c>
      <c r="M55" s="40"/>
      <c r="N55" s="74">
        <f>IF(BP55=0,0,($BC55*(1+$BD$7)^2/$BD55*BP55))</f>
        <v>0</v>
      </c>
      <c r="O55" s="40"/>
      <c r="P55" s="74">
        <f>IF(BT55=0,0,($BC55*(1+$BD$7)^3/$BD55*BT55))</f>
        <v>0</v>
      </c>
      <c r="Q55" s="40"/>
      <c r="R55" s="74">
        <f>IF(BX55=0,0,($BC55*(1+$BD$7)^4/$BD55*BX55))</f>
        <v>0</v>
      </c>
      <c r="S55" s="40"/>
      <c r="T55" s="74">
        <f>IF(CB55=0,0,($BC55*(1+$BD$7)^5/$BD55*CB55))</f>
        <v>0</v>
      </c>
      <c r="V55" s="74">
        <f>IF(CF55=0,0,($BC55*(1+$BD$7)^6/$BD55*CF55))</f>
        <v>0</v>
      </c>
      <c r="W55" s="40"/>
      <c r="X55" s="74">
        <f>IF(CJ55=0,0,($BC55*(1+$BD$7)^7/$BD55*CJ55))</f>
        <v>0</v>
      </c>
      <c r="Y55" s="40"/>
      <c r="Z55" s="74">
        <f>IF(CN55=0,0,($BC55*(1+$BD$7)^8/$BD55*CN55))</f>
        <v>0</v>
      </c>
      <c r="AA55" s="40"/>
      <c r="AB55" s="74">
        <f>IF(CR55=0,0,($BC55*(1+$BD$7)^9/$BD55*CR55))</f>
        <v>0</v>
      </c>
      <c r="AC55" s="74"/>
      <c r="AD55" s="74">
        <f>J55+L55+N55+P55+R55+T55+V55+X55+Z55+AB55</f>
        <v>0</v>
      </c>
      <c r="AE55" s="74"/>
      <c r="AF55" s="321">
        <f>IF(BH55=0,0,($BC55/$BD55*BH55))*0</f>
        <v>0</v>
      </c>
      <c r="AH55" s="321">
        <f>IF(BL55=0,0,($BC55*(1+$BD$7)/$BD55*BL55))*0</f>
        <v>0</v>
      </c>
      <c r="AI55" s="40"/>
      <c r="AJ55" s="321">
        <f>IF(BP55=0,0,($BC55*(1+$BD$7)^2/$BD55*BP55))*0</f>
        <v>0</v>
      </c>
      <c r="AK55" s="40"/>
      <c r="AL55" s="321">
        <f>IF(BT55=0,0,($BC55*(1+$BD$7)^3/$BD55*BT55))*0</f>
        <v>0</v>
      </c>
      <c r="AM55" s="40"/>
      <c r="AN55" s="321">
        <f>IF(BX55=0,0,($BC55*(1+$BD$7)^4/$BD55*BX55))*0</f>
        <v>0</v>
      </c>
      <c r="AO55" s="40"/>
      <c r="AP55" s="321">
        <f>IF(CB55=0,0,($BC55*(1+$BD$7)^5/$BD55*CB55))*0*H53</f>
        <v>0</v>
      </c>
      <c r="AR55" s="321">
        <f>IF(CF55=0,0,($BC55*(1+$BD$7)^6/$BD55*CF55))*0*H53</f>
        <v>0</v>
      </c>
      <c r="AS55" s="40"/>
      <c r="AT55" s="321">
        <f>IF(CJ55=0,0,($BC55*(1+$BD$7)^7/$BD55*CJ55))*0*H53</f>
        <v>0</v>
      </c>
      <c r="AU55" s="40"/>
      <c r="AV55" s="321">
        <f>IF(CN55=0,0,($BC55*(1+$BD$7)^8/$BD55*CN55))*0*H53</f>
        <v>0</v>
      </c>
      <c r="AW55" s="40"/>
      <c r="AX55" s="321">
        <f>IF(CR55=0,0,($BC55*(1+$BD$7)^9/$BD55*CR55))*0*H53</f>
        <v>0</v>
      </c>
      <c r="AY55" s="74"/>
      <c r="AZ55" s="321">
        <f>AF55+AH55+AJ55+AL55+AN55+AP55+AR55+AT55+AV55+AX55</f>
        <v>0</v>
      </c>
      <c r="BC55" s="110"/>
      <c r="BD55" s="111">
        <v>3</v>
      </c>
      <c r="BE55" s="116" t="s">
        <v>84</v>
      </c>
      <c r="BF55" s="113">
        <v>1</v>
      </c>
      <c r="BG55" s="114">
        <v>3</v>
      </c>
      <c r="BH55" s="76">
        <f>BF55*BG55*H53</f>
        <v>3</v>
      </c>
      <c r="BI55" s="50"/>
      <c r="BJ55" s="113">
        <f>IF($BD$15=1,0,BF55)</f>
        <v>1</v>
      </c>
      <c r="BK55" s="114">
        <f>IF($BD$15=1,0,BG55)</f>
        <v>3</v>
      </c>
      <c r="BL55" s="76">
        <f>BJ55*BK55*H53</f>
        <v>3</v>
      </c>
      <c r="BM55" s="50"/>
      <c r="BN55" s="113">
        <f>IF($BD$15=2,0,BJ55)</f>
        <v>1</v>
      </c>
      <c r="BO55" s="114">
        <f>IF($BD$15=2,0,BK55)</f>
        <v>3</v>
      </c>
      <c r="BP55" s="76">
        <f>BN55*BO55*H53</f>
        <v>3</v>
      </c>
      <c r="BQ55" s="50"/>
      <c r="BR55" s="113">
        <f>IF($BD$15=3,0,BN55)</f>
        <v>1</v>
      </c>
      <c r="BS55" s="114">
        <f>IF($BD$15=3,0,BO55)</f>
        <v>3</v>
      </c>
      <c r="BT55" s="76">
        <f>BR55*BS55*H53</f>
        <v>3</v>
      </c>
      <c r="BU55" s="50"/>
      <c r="BV55" s="113">
        <f>IF($BD$15=4,0,BR55)</f>
        <v>1</v>
      </c>
      <c r="BW55" s="114">
        <f>IF($BD$15=4,0,BS55)</f>
        <v>3</v>
      </c>
      <c r="BX55" s="76">
        <f>BV55*BW55*H53</f>
        <v>3</v>
      </c>
      <c r="BY55" s="115"/>
      <c r="BZ55" s="113">
        <f t="shared" si="27"/>
        <v>0</v>
      </c>
      <c r="CA55" s="114">
        <f t="shared" si="27"/>
        <v>0</v>
      </c>
      <c r="CB55" s="76">
        <f>BZ55*CA55*H53</f>
        <v>0</v>
      </c>
      <c r="CC55" s="50"/>
      <c r="CD55" s="113">
        <f t="shared" si="33"/>
        <v>0</v>
      </c>
      <c r="CE55" s="114">
        <f t="shared" si="28"/>
        <v>0</v>
      </c>
      <c r="CF55" s="76">
        <f>CD55*CE55*H53</f>
        <v>0</v>
      </c>
      <c r="CG55" s="50"/>
      <c r="CH55" s="113">
        <f t="shared" si="34"/>
        <v>0</v>
      </c>
      <c r="CI55" s="114">
        <f t="shared" si="29"/>
        <v>0</v>
      </c>
      <c r="CJ55" s="76">
        <f>CH55*CI55*H53</f>
        <v>0</v>
      </c>
      <c r="CK55" s="50"/>
      <c r="CL55" s="113">
        <f t="shared" si="30"/>
        <v>0</v>
      </c>
      <c r="CM55" s="114">
        <f t="shared" si="30"/>
        <v>0</v>
      </c>
      <c r="CN55" s="76">
        <f>CL55*CM55*H53</f>
        <v>0</v>
      </c>
      <c r="CO55" s="50"/>
      <c r="CP55" s="113">
        <f t="shared" si="31"/>
        <v>0</v>
      </c>
      <c r="CQ55" s="114">
        <f t="shared" si="31"/>
        <v>0</v>
      </c>
      <c r="CR55" s="76">
        <f>CP55*CQ55*H53</f>
        <v>0</v>
      </c>
      <c r="CS55" s="115">
        <f t="shared" si="32"/>
        <v>15</v>
      </c>
    </row>
    <row r="56" spans="1:97" x14ac:dyDescent="0.25">
      <c r="A56" s="32"/>
      <c r="C56" s="73" t="s">
        <v>52</v>
      </c>
      <c r="G56" s="63" t="s">
        <v>388</v>
      </c>
      <c r="H56" s="67">
        <v>1</v>
      </c>
      <c r="I56" s="9"/>
      <c r="M56" s="40"/>
      <c r="N56" s="40"/>
      <c r="O56" s="40"/>
      <c r="P56" s="40"/>
      <c r="Q56" s="40"/>
      <c r="R56" s="40"/>
      <c r="S56" s="40"/>
      <c r="W56" s="40"/>
      <c r="X56" s="74"/>
      <c r="Y56" s="40"/>
      <c r="Z56" s="74"/>
      <c r="AA56" s="40"/>
      <c r="AB56" s="74"/>
      <c r="AC56" s="40"/>
      <c r="AD56" s="74"/>
      <c r="AI56" s="40"/>
      <c r="AJ56" s="321"/>
      <c r="AK56" s="40"/>
      <c r="AL56" s="321"/>
      <c r="AM56" s="40"/>
      <c r="AN56" s="321"/>
      <c r="AO56" s="40"/>
      <c r="AS56" s="40"/>
      <c r="AT56" s="321"/>
      <c r="AU56" s="40"/>
      <c r="AV56" s="321"/>
      <c r="AW56" s="40"/>
      <c r="AX56" s="321"/>
      <c r="AY56" s="40"/>
      <c r="AZ56" s="321"/>
      <c r="BC56" s="110"/>
      <c r="BD56" s="111"/>
      <c r="BE56" s="116"/>
      <c r="BF56" s="113"/>
      <c r="BG56" s="114"/>
      <c r="BH56" s="76"/>
      <c r="BI56" s="50"/>
      <c r="BJ56" s="113"/>
      <c r="BK56" s="114"/>
      <c r="BL56" s="76"/>
      <c r="BM56" s="50"/>
      <c r="BN56" s="113"/>
      <c r="BO56" s="114"/>
      <c r="BP56" s="76"/>
      <c r="BQ56" s="50"/>
      <c r="BR56" s="113"/>
      <c r="BS56" s="114"/>
      <c r="BT56" s="76"/>
      <c r="BU56" s="50"/>
      <c r="BV56" s="113"/>
      <c r="BW56" s="114"/>
      <c r="BX56" s="76"/>
      <c r="BY56" s="115"/>
      <c r="BZ56" s="113"/>
      <c r="CA56" s="114"/>
      <c r="CB56" s="76"/>
      <c r="CC56" s="50"/>
      <c r="CD56" s="113"/>
      <c r="CE56" s="114"/>
      <c r="CF56" s="76"/>
      <c r="CG56" s="50"/>
      <c r="CH56" s="113"/>
      <c r="CI56" s="114"/>
      <c r="CJ56" s="76"/>
      <c r="CK56" s="50"/>
      <c r="CL56" s="113"/>
      <c r="CM56" s="114"/>
      <c r="CN56" s="76"/>
      <c r="CO56" s="50"/>
      <c r="CP56" s="113"/>
      <c r="CQ56" s="114"/>
      <c r="CR56" s="76"/>
      <c r="CS56" s="115"/>
    </row>
    <row r="57" spans="1:97" ht="16.5" customHeight="1" x14ac:dyDescent="0.25">
      <c r="A57" s="32" t="s">
        <v>52</v>
      </c>
      <c r="B57" s="10"/>
      <c r="D57" s="53" t="str">
        <f>((BF57*100)&amp;"%"&amp;" time, "&amp;BG57&amp;" months, "&amp;BE57)</f>
        <v>50% time, 9 months, AY</v>
      </c>
      <c r="E57" s="53"/>
      <c r="H57" s="54"/>
      <c r="I57" s="9"/>
      <c r="J57" s="74">
        <f>IF(BH57=0,0,($BC57/$BD57*BH57))</f>
        <v>0</v>
      </c>
      <c r="L57" s="74">
        <f>IF(BL57=0,0,($BC57*(1+$BD$7)/$BD57*BL57))</f>
        <v>0</v>
      </c>
      <c r="M57" s="40"/>
      <c r="N57" s="74">
        <f>IF(BP57=0,0,($BC57*(1+$BD$7)^2/$BD57*BP57))</f>
        <v>0</v>
      </c>
      <c r="O57" s="40"/>
      <c r="P57" s="74">
        <f>IF(BT57=0,0,($BC57*(1+$BD$7)^3/$BD57*BT57))</f>
        <v>0</v>
      </c>
      <c r="Q57" s="40"/>
      <c r="R57" s="74">
        <f>IF(BX57=0,0,($BC57*(1+$BD$7)^4/$BD57*BX57))</f>
        <v>0</v>
      </c>
      <c r="S57" s="40"/>
      <c r="T57" s="74">
        <f>IF(CB57=0,0,($BC57*(1+$BD$7)^5/$BD57*CB57))</f>
        <v>0</v>
      </c>
      <c r="V57" s="74">
        <f>IF(CF57=0,0,($BC57*(1+$BD$7)^6/$BD57*CF57))</f>
        <v>0</v>
      </c>
      <c r="W57" s="40"/>
      <c r="X57" s="74">
        <f>IF(CJ57=0,0,($BC57*(1+$BD$7)^7/$BD57*CJ57))</f>
        <v>0</v>
      </c>
      <c r="Y57" s="40"/>
      <c r="Z57" s="74">
        <f>IF(CN57=0,0,($BC57*(1+$BD$7)^8/$BD57*CN57))</f>
        <v>0</v>
      </c>
      <c r="AA57" s="40"/>
      <c r="AB57" s="74">
        <f>IF(CR57=0,0,($BC57*(1+$BD$7)^9/$BD57*CR57))</f>
        <v>0</v>
      </c>
      <c r="AC57" s="74"/>
      <c r="AD57" s="74">
        <f>J57+L57+N57+P57+R57+T57+V57+X57+Z57+AB57</f>
        <v>0</v>
      </c>
      <c r="AE57" s="74"/>
      <c r="AF57" s="321">
        <f>IF(BH57=0,0,($BC57/$BD57*BH57))*0</f>
        <v>0</v>
      </c>
      <c r="AH57" s="321">
        <f>IF(BL57=0,0,($BC57*(1+$BD$7)/$BD57*BL57))*0</f>
        <v>0</v>
      </c>
      <c r="AI57" s="40"/>
      <c r="AJ57" s="321">
        <f>IF(BP57=0,0,($BC57*(1+$BD$7)^2/$BD57*BP57))*0</f>
        <v>0</v>
      </c>
      <c r="AK57" s="40"/>
      <c r="AL57" s="321">
        <f>IF(BT57=0,0,($BC57*(1+$BD$7)^3/$BD57*BT57))*0</f>
        <v>0</v>
      </c>
      <c r="AM57" s="40"/>
      <c r="AN57" s="321">
        <f>IF(BX57=0,0,($BC57*(1+$BD$7)^4/$BD57*BX57))*0</f>
        <v>0</v>
      </c>
      <c r="AO57" s="40"/>
      <c r="AP57" s="321">
        <f>IF(CB57=0,0,($BC57*(1+$BD$7)^5/$BD57*CB57))*0*H56</f>
        <v>0</v>
      </c>
      <c r="AR57" s="321">
        <f>IF(CF57=0,0,($BC57*(1+$BD$7)^6/$BD57*CF57))*0*H56</f>
        <v>0</v>
      </c>
      <c r="AS57" s="40"/>
      <c r="AT57" s="321">
        <f>IF(CJ57=0,0,($BC57*(1+$BD$7)^7/$BD57*CJ57))*0*H56</f>
        <v>0</v>
      </c>
      <c r="AU57" s="40"/>
      <c r="AV57" s="321">
        <f>IF(CN57=0,0,($BC57*(1+$BD$7)^8/$BD57*CN57))*0*H56</f>
        <v>0</v>
      </c>
      <c r="AW57" s="40"/>
      <c r="AX57" s="321">
        <f>IF(CR57=0,0,($BC57*(1+$BD$7)^9/$BD57*CR57))*0*H56</f>
        <v>0</v>
      </c>
      <c r="AY57" s="74"/>
      <c r="AZ57" s="321">
        <f>AF57+AH57+AJ57+AL57+AN57+AP57+AR57+AT57+AV57+AX57</f>
        <v>0</v>
      </c>
      <c r="BC57" s="110"/>
      <c r="BD57" s="111">
        <v>9</v>
      </c>
      <c r="BE57" s="116" t="s">
        <v>83</v>
      </c>
      <c r="BF57" s="113">
        <v>0.5</v>
      </c>
      <c r="BG57" s="114">
        <v>9</v>
      </c>
      <c r="BH57" s="76">
        <f>BF57*BG57*H56</f>
        <v>4.5</v>
      </c>
      <c r="BI57" s="50"/>
      <c r="BJ57" s="113">
        <f>IF($BD$15=1,0,BF57)</f>
        <v>0.5</v>
      </c>
      <c r="BK57" s="114">
        <f>IF($BD$15=1,0,BG57)</f>
        <v>9</v>
      </c>
      <c r="BL57" s="76">
        <f>BJ57*BK57*H56</f>
        <v>4.5</v>
      </c>
      <c r="BM57" s="50"/>
      <c r="BN57" s="113">
        <f>IF($BD$15=2,0,BJ57)</f>
        <v>0.5</v>
      </c>
      <c r="BO57" s="114">
        <f>IF($BD$15=2,0,BK57)</f>
        <v>9</v>
      </c>
      <c r="BP57" s="76">
        <f>BN57*BO57*H56</f>
        <v>4.5</v>
      </c>
      <c r="BQ57" s="50"/>
      <c r="BR57" s="113">
        <f>IF($BD$15=3,0,BN57)</f>
        <v>0.5</v>
      </c>
      <c r="BS57" s="114">
        <f>IF($BD$15=3,0,BO57)</f>
        <v>9</v>
      </c>
      <c r="BT57" s="76">
        <f>BR57*BS57*H56</f>
        <v>4.5</v>
      </c>
      <c r="BU57" s="50"/>
      <c r="BV57" s="113">
        <f>IF($BD$15=4,0,BR57)</f>
        <v>0.5</v>
      </c>
      <c r="BW57" s="114">
        <f>IF($BD$15=4,0,BS57)</f>
        <v>9</v>
      </c>
      <c r="BX57" s="76">
        <f>BV57*BW57*H56</f>
        <v>4.5</v>
      </c>
      <c r="BY57" s="115"/>
      <c r="BZ57" s="113">
        <f t="shared" si="27"/>
        <v>0</v>
      </c>
      <c r="CA57" s="114">
        <f t="shared" si="27"/>
        <v>0</v>
      </c>
      <c r="CB57" s="76">
        <f>BZ57*CA57*H56</f>
        <v>0</v>
      </c>
      <c r="CC57" s="50"/>
      <c r="CD57" s="113">
        <f t="shared" si="33"/>
        <v>0</v>
      </c>
      <c r="CE57" s="114">
        <f t="shared" si="28"/>
        <v>0</v>
      </c>
      <c r="CF57" s="76">
        <f>CD57*CE57*H56</f>
        <v>0</v>
      </c>
      <c r="CG57" s="50"/>
      <c r="CH57" s="113">
        <f t="shared" si="34"/>
        <v>0</v>
      </c>
      <c r="CI57" s="114">
        <f t="shared" si="29"/>
        <v>0</v>
      </c>
      <c r="CJ57" s="76">
        <f>CH57*CI57*H56</f>
        <v>0</v>
      </c>
      <c r="CK57" s="50"/>
      <c r="CL57" s="113">
        <f t="shared" si="30"/>
        <v>0</v>
      </c>
      <c r="CM57" s="114">
        <f t="shared" si="30"/>
        <v>0</v>
      </c>
      <c r="CN57" s="76">
        <f>CL57*CM57*H56</f>
        <v>0</v>
      </c>
      <c r="CO57" s="50"/>
      <c r="CP57" s="113">
        <f t="shared" si="31"/>
        <v>0</v>
      </c>
      <c r="CQ57" s="114">
        <f t="shared" si="31"/>
        <v>0</v>
      </c>
      <c r="CR57" s="76">
        <f>CP57*CQ57*H56</f>
        <v>0</v>
      </c>
      <c r="CS57" s="115">
        <f t="shared" si="32"/>
        <v>22.5</v>
      </c>
    </row>
    <row r="58" spans="1:97" ht="16.5" customHeight="1" x14ac:dyDescent="0.25">
      <c r="A58" s="32" t="s">
        <v>52</v>
      </c>
      <c r="B58" s="10"/>
      <c r="D58" s="53" t="str">
        <f>((BF58*100)&amp;"%"&amp;" time, "&amp;BG58&amp;" months, "&amp;BE58)</f>
        <v>100% time, 3 months, Summer</v>
      </c>
      <c r="E58" s="53"/>
      <c r="H58" s="54"/>
      <c r="I58" s="9"/>
      <c r="J58" s="74">
        <f>IF(BH58=0,0,($BC58/$BD58*BH58))</f>
        <v>0</v>
      </c>
      <c r="L58" s="74">
        <f>IF(BL58=0,0,($BC58*(1+$BD$7)/$BD58*BL58))</f>
        <v>0</v>
      </c>
      <c r="M58" s="40"/>
      <c r="N58" s="74">
        <f>IF(BP58=0,0,($BC58*(1+$BD$7)^2/$BD58*BP58))</f>
        <v>0</v>
      </c>
      <c r="O58" s="40"/>
      <c r="P58" s="74">
        <f>IF(BT58=0,0,($BC58*(1+$BD$7)^3/$BD58*BT58))</f>
        <v>0</v>
      </c>
      <c r="Q58" s="40"/>
      <c r="R58" s="74">
        <f>IF(BX58=0,0,($BC58*(1+$BD$7)^4/$BD58*BX58))</f>
        <v>0</v>
      </c>
      <c r="S58" s="40"/>
      <c r="T58" s="74">
        <f>IF(CB58=0,0,($BC58*(1+$BD$7)^5/$BD58*CB58))</f>
        <v>0</v>
      </c>
      <c r="V58" s="74">
        <f>IF(CF58=0,0,($BC58*(1+$BD$7)^6/$BD58*CF58))</f>
        <v>0</v>
      </c>
      <c r="W58" s="40"/>
      <c r="X58" s="74">
        <f>IF(CJ58=0,0,($BC58*(1+$BD$7)^7/$BD58*CJ58))</f>
        <v>0</v>
      </c>
      <c r="Y58" s="40"/>
      <c r="Z58" s="74">
        <f>IF(CN58=0,0,($BC58*(1+$BD$7)^8/$BD58*CN58))</f>
        <v>0</v>
      </c>
      <c r="AA58" s="40"/>
      <c r="AB58" s="74">
        <f>IF(CR58=0,0,($BC58*(1+$BD$7)^9/$BD58*CR58))</f>
        <v>0</v>
      </c>
      <c r="AC58" s="74"/>
      <c r="AD58" s="74">
        <f>J58+L58+N58+P58+R58+T58+V58+X58+Z58+AB58</f>
        <v>0</v>
      </c>
      <c r="AE58" s="74"/>
      <c r="AF58" s="321">
        <f>IF(BH58=0,0,($BC58/$BD58*BH58))*0</f>
        <v>0</v>
      </c>
      <c r="AH58" s="321">
        <f>IF(BL58=0,0,($BC58*(1+$BD$7)/$BD58*BL58))*0</f>
        <v>0</v>
      </c>
      <c r="AI58" s="40"/>
      <c r="AJ58" s="321">
        <f>IF(BP58=0,0,($BC58*(1+$BD$7)^2/$BD58*BP58))*0</f>
        <v>0</v>
      </c>
      <c r="AK58" s="40"/>
      <c r="AL58" s="321">
        <f>IF(BT58=0,0,($BC58*(1+$BD$7)^3/$BD58*BT58))*0</f>
        <v>0</v>
      </c>
      <c r="AM58" s="40"/>
      <c r="AN58" s="321">
        <f>IF(BX58=0,0,($BC58*(1+$BD$7)^4/$BD58*BX58))*0</f>
        <v>0</v>
      </c>
      <c r="AO58" s="40"/>
      <c r="AP58" s="321">
        <f>IF(CB58=0,0,($BC58*(1+$BD$7)^5/$BD58*CB58))*0*H56</f>
        <v>0</v>
      </c>
      <c r="AR58" s="321">
        <f>IF(CF58=0,0,($BC58*(1+$BD$7)^6/$BD58*CF58))*0*H56</f>
        <v>0</v>
      </c>
      <c r="AS58" s="40"/>
      <c r="AT58" s="321">
        <f>IF(CJ58=0,0,($BC58*(1+$BD$7)^7/$BD58*CJ58))*0*H56</f>
        <v>0</v>
      </c>
      <c r="AU58" s="40"/>
      <c r="AV58" s="321">
        <f>IF(CN58=0,0,($BC58*(1+$BD$7)^8/$BD58*CN58))*0*H56</f>
        <v>0</v>
      </c>
      <c r="AW58" s="40"/>
      <c r="AX58" s="321">
        <f>IF(CR58=0,0,($BC58*(1+$BD$7)^9/$BD58*CR58))*0*H56</f>
        <v>0</v>
      </c>
      <c r="AY58" s="74"/>
      <c r="AZ58" s="321">
        <f>AF58+AH58+AJ58+AL58+AN58+AP58+AR58+AT58+AV58+AX58</f>
        <v>0</v>
      </c>
      <c r="BA58" s="40"/>
      <c r="BC58" s="110"/>
      <c r="BD58" s="111">
        <v>3</v>
      </c>
      <c r="BE58" s="116" t="s">
        <v>84</v>
      </c>
      <c r="BF58" s="113">
        <v>1</v>
      </c>
      <c r="BG58" s="114">
        <v>3</v>
      </c>
      <c r="BH58" s="76">
        <f>BF58*BG58*H56</f>
        <v>3</v>
      </c>
      <c r="BI58" s="50"/>
      <c r="BJ58" s="113">
        <f>IF($BD$15=1,0,BF58)</f>
        <v>1</v>
      </c>
      <c r="BK58" s="114">
        <f>IF($BD$15=1,0,BG58)</f>
        <v>3</v>
      </c>
      <c r="BL58" s="76">
        <f>BJ58*BK58*H56</f>
        <v>3</v>
      </c>
      <c r="BM58" s="50"/>
      <c r="BN58" s="113">
        <f>IF($BD$15=2,0,BJ58)</f>
        <v>1</v>
      </c>
      <c r="BO58" s="114">
        <f>IF($BD$15=2,0,BK58)</f>
        <v>3</v>
      </c>
      <c r="BP58" s="76">
        <f>BN58*BO58*H56</f>
        <v>3</v>
      </c>
      <c r="BQ58" s="50"/>
      <c r="BR58" s="113">
        <f>IF($BD$15=3,0,BN58)</f>
        <v>1</v>
      </c>
      <c r="BS58" s="114">
        <f>IF($BD$15=3,0,BO58)</f>
        <v>3</v>
      </c>
      <c r="BT58" s="76">
        <f>BR58*BS58*H56</f>
        <v>3</v>
      </c>
      <c r="BU58" s="50"/>
      <c r="BV58" s="113">
        <f>IF($BD$15=4,0,BR58)</f>
        <v>1</v>
      </c>
      <c r="BW58" s="114">
        <f>IF($BD$15=4,0,BS58)</f>
        <v>3</v>
      </c>
      <c r="BX58" s="76">
        <f>BV58*BW58*H56</f>
        <v>3</v>
      </c>
      <c r="BY58" s="115"/>
      <c r="BZ58" s="113">
        <f t="shared" si="27"/>
        <v>0</v>
      </c>
      <c r="CA58" s="114">
        <f t="shared" si="27"/>
        <v>0</v>
      </c>
      <c r="CB58" s="76">
        <f>BZ58*CA58*H56</f>
        <v>0</v>
      </c>
      <c r="CC58" s="50"/>
      <c r="CD58" s="113">
        <f t="shared" si="33"/>
        <v>0</v>
      </c>
      <c r="CE58" s="114">
        <f t="shared" si="28"/>
        <v>0</v>
      </c>
      <c r="CF58" s="76">
        <f>CD58*CE58*H56</f>
        <v>0</v>
      </c>
      <c r="CG58" s="50"/>
      <c r="CH58" s="113">
        <f t="shared" si="34"/>
        <v>0</v>
      </c>
      <c r="CI58" s="114">
        <f t="shared" si="29"/>
        <v>0</v>
      </c>
      <c r="CJ58" s="76">
        <f>CH58*CI58*H56</f>
        <v>0</v>
      </c>
      <c r="CK58" s="50"/>
      <c r="CL58" s="113">
        <f t="shared" si="30"/>
        <v>0</v>
      </c>
      <c r="CM58" s="114">
        <f t="shared" si="30"/>
        <v>0</v>
      </c>
      <c r="CN58" s="76">
        <f>CL58*CM58*H56</f>
        <v>0</v>
      </c>
      <c r="CO58" s="50"/>
      <c r="CP58" s="113">
        <f t="shared" si="31"/>
        <v>0</v>
      </c>
      <c r="CQ58" s="114">
        <f t="shared" si="31"/>
        <v>0</v>
      </c>
      <c r="CR58" s="76">
        <f>CP58*CQ58*H56</f>
        <v>0</v>
      </c>
      <c r="CS58" s="115">
        <f t="shared" si="32"/>
        <v>15</v>
      </c>
    </row>
    <row r="59" spans="1:97" ht="16.5" customHeight="1" x14ac:dyDescent="0.25">
      <c r="A59" s="32"/>
      <c r="B59" s="10"/>
      <c r="C59" s="73" t="s">
        <v>53</v>
      </c>
      <c r="F59" s="364" t="s">
        <v>394</v>
      </c>
      <c r="G59" s="364" t="s">
        <v>395</v>
      </c>
      <c r="H59" s="364" t="s">
        <v>396</v>
      </c>
      <c r="I59" s="9"/>
      <c r="M59" s="40"/>
      <c r="N59" s="74"/>
      <c r="O59" s="40"/>
      <c r="P59" s="74"/>
      <c r="Q59" s="40"/>
      <c r="R59" s="74"/>
      <c r="S59" s="40"/>
      <c r="W59" s="40"/>
      <c r="X59" s="74"/>
      <c r="Y59" s="40"/>
      <c r="Z59" s="74"/>
      <c r="AA59" s="40"/>
      <c r="AB59" s="74"/>
      <c r="AC59" s="74"/>
      <c r="AD59" s="74"/>
      <c r="AE59" s="74"/>
      <c r="AI59" s="40"/>
      <c r="AJ59" s="321"/>
      <c r="AK59" s="40"/>
      <c r="AL59" s="321"/>
      <c r="AM59" s="40"/>
      <c r="AN59" s="321"/>
      <c r="AO59" s="40"/>
      <c r="AS59" s="40"/>
      <c r="AT59" s="321"/>
      <c r="AU59" s="40"/>
      <c r="AV59" s="321"/>
      <c r="AW59" s="40"/>
      <c r="AX59" s="321"/>
      <c r="AY59" s="74"/>
      <c r="AZ59" s="321"/>
      <c r="BC59" s="110"/>
      <c r="BD59" s="111"/>
      <c r="BE59" s="116"/>
      <c r="BF59" s="113"/>
      <c r="BG59" s="114"/>
      <c r="BH59" s="76"/>
      <c r="BI59" s="50"/>
      <c r="BJ59" s="113"/>
      <c r="BK59" s="114"/>
      <c r="BL59" s="76"/>
      <c r="BM59" s="50"/>
      <c r="BN59" s="113"/>
      <c r="BO59" s="114"/>
      <c r="BP59" s="76"/>
      <c r="BQ59" s="50"/>
      <c r="BR59" s="113"/>
      <c r="BS59" s="114"/>
      <c r="BT59" s="76"/>
      <c r="BU59" s="50"/>
      <c r="BV59" s="113"/>
      <c r="BW59" s="114"/>
      <c r="BX59" s="76"/>
      <c r="BY59" s="115"/>
      <c r="BZ59" s="113"/>
      <c r="CA59" s="114"/>
      <c r="CB59" s="76"/>
      <c r="CC59" s="50"/>
      <c r="CD59" s="113"/>
      <c r="CE59" s="114"/>
      <c r="CF59" s="76"/>
      <c r="CG59" s="50"/>
      <c r="CH59" s="113"/>
      <c r="CI59" s="114"/>
      <c r="CJ59" s="76"/>
      <c r="CK59" s="50"/>
      <c r="CL59" s="113"/>
      <c r="CM59" s="114"/>
      <c r="CN59" s="76"/>
      <c r="CO59" s="50"/>
      <c r="CP59" s="113"/>
      <c r="CQ59" s="114"/>
      <c r="CR59" s="76"/>
      <c r="CS59" s="115"/>
    </row>
    <row r="60" spans="1:97" ht="17.25" customHeight="1" x14ac:dyDescent="0.25">
      <c r="A60" s="32" t="s">
        <v>236</v>
      </c>
      <c r="B60" s="10"/>
      <c r="D60" s="53" t="str">
        <f>"$"&amp;F60&amp;"/hr"&amp;", "&amp;G60&amp;" hours"</f>
        <v>$/hr,  hours</v>
      </c>
      <c r="E60" s="53"/>
      <c r="F60" s="366"/>
      <c r="G60" s="364"/>
      <c r="H60" s="364"/>
      <c r="I60" s="9"/>
      <c r="J60" s="74">
        <f>IF(BH60=0,0,(F60*G60*H60))</f>
        <v>0</v>
      </c>
      <c r="L60" s="74">
        <f>IF($BD$15&lt;2,0,IF(BL60=0,0,(F60*G60*H60*(1+$BD$7))))</f>
        <v>0</v>
      </c>
      <c r="M60" s="40"/>
      <c r="N60" s="74">
        <f>IF($BD$15&lt;3,0,IF(BP60=0,0,(F60*G60*H60*(1+$BD$7)^2)))</f>
        <v>0</v>
      </c>
      <c r="O60" s="40"/>
      <c r="P60" s="74">
        <f>IF($BD$15&lt;4,0,IF(BT60=0,0,(F60*G60*H60*(1+$BD$7)^3)))</f>
        <v>0</v>
      </c>
      <c r="Q60" s="40"/>
      <c r="R60" s="74">
        <f>IF($BD$15&lt;5,0,IF(BX60=0,0,(F60*G60*H60*(1+$BD$7)^4)))</f>
        <v>0</v>
      </c>
      <c r="S60" s="74"/>
      <c r="T60" s="74">
        <f>IF($BD$15&lt;6,0,IF(CB60=0,0,(F60*G60*H60*(1+$BD$7)^5)))</f>
        <v>0</v>
      </c>
      <c r="V60" s="74">
        <f>IF($BD$15&lt;7,0,IF(CF60=0,0,(F60*G60*H60*(1+$BD$7)^6)))</f>
        <v>0</v>
      </c>
      <c r="W60" s="74"/>
      <c r="X60" s="74">
        <f>IF($BD$15&lt;8,0,IF(CJ60=0,0,(F60*G60*H60*(1+$BD$7)^7)))</f>
        <v>0</v>
      </c>
      <c r="Y60" s="74"/>
      <c r="Z60" s="74">
        <f>IF($BD$15&lt;9,0,IF(CN60=0,0,(F60*G60*H60*(1+$BD$7)^8)))</f>
        <v>0</v>
      </c>
      <c r="AA60" s="74"/>
      <c r="AB60" s="74">
        <f>IF($BD$15&lt;10,0,IF(CR60=0,0,(F60*G60*H60*(1+$BD$7)^9)))</f>
        <v>0</v>
      </c>
      <c r="AC60" s="74"/>
      <c r="AD60" s="74">
        <f>J60+L60+N60+P60+R60+T60+V60+X60+Z60+AB60</f>
        <v>0</v>
      </c>
      <c r="AE60" s="74"/>
      <c r="AF60" s="321">
        <f>IF(BH60=0,0,(F60*G60*H60))*0</f>
        <v>0</v>
      </c>
      <c r="AH60" s="321">
        <f>IF($BD$15&lt;2,0,IF(BL60=0,0,(F60*G60*H60*(1+$BD$7))))*0</f>
        <v>0</v>
      </c>
      <c r="AI60" s="40"/>
      <c r="AJ60" s="321">
        <f>IF($BD$15&lt;3,0,IF(BP60=0,0,(F60*G60*H60*(1+$BD$7)^2)))*0</f>
        <v>0</v>
      </c>
      <c r="AK60" s="40"/>
      <c r="AL60" s="321">
        <f>IF($BD$15&lt;4,0,IF(BT60=0,0,(F60*G60*H60*(1+$BD$7)^3)))*0</f>
        <v>0</v>
      </c>
      <c r="AM60" s="40"/>
      <c r="AN60" s="321">
        <f>IF($BD$15&lt;5,0,IF(BX60=0,0,(F60*G60*H60*(1+$BD$7)^4)))*0</f>
        <v>0</v>
      </c>
      <c r="AO60" s="40"/>
      <c r="AP60" s="321">
        <f>IF($BD$15&lt;6,0,IF(BX60=0,0,(F60*G60*H60*(1+$BD$7)^5)))*0</f>
        <v>0</v>
      </c>
      <c r="AR60" s="321">
        <f>IF($BD$15&lt;7,0,IF(BX60=0,0,(F60*G60*H60*(1+$BD$7)^6)))*0</f>
        <v>0</v>
      </c>
      <c r="AS60" s="40"/>
      <c r="AT60" s="321">
        <f>IF($BD$15&lt;8,0,IF(BX60=0,0,(F60*G60*H60*(1+$BD$7)^7)))*0</f>
        <v>0</v>
      </c>
      <c r="AU60" s="40"/>
      <c r="AV60" s="321">
        <f>IF($BD$15&lt;9,0,IF(BX60=0,0,(F60*G60*H60*(1+$BD$7)^8)))*0</f>
        <v>0</v>
      </c>
      <c r="AW60" s="40"/>
      <c r="AX60" s="321">
        <f>IF($BD$15&lt;10,0,IF(BX60=0,0,(F60*G60*H60*(1+$BD$7)^9)))*0</f>
        <v>0</v>
      </c>
      <c r="AY60" s="74"/>
      <c r="AZ60" s="321">
        <f>AF60+AH60+AJ60+AL60+AN60+AP60+AR60+AT60+AV60+AX60</f>
        <v>0</v>
      </c>
      <c r="BC60" s="110"/>
      <c r="BD60" s="111"/>
      <c r="BE60" s="116"/>
      <c r="BF60" s="113">
        <v>0</v>
      </c>
      <c r="BG60" s="114">
        <v>0</v>
      </c>
      <c r="BH60" s="76">
        <f>(G60*H60)/173.33</f>
        <v>0</v>
      </c>
      <c r="BI60" s="50"/>
      <c r="BJ60" s="113">
        <f>IF($BD$15=1,0,BF60)</f>
        <v>0</v>
      </c>
      <c r="BK60" s="114">
        <f>IF($BD$15=1,0,BG60)</f>
        <v>0</v>
      </c>
      <c r="BL60" s="76">
        <f>IF($BD$15&lt;2,0,(G60*H60)/173.33)</f>
        <v>0</v>
      </c>
      <c r="BM60" s="50"/>
      <c r="BN60" s="113">
        <f>IF($BD$15=2,0,BJ60)</f>
        <v>0</v>
      </c>
      <c r="BO60" s="114">
        <f>IF($BD$15=2,0,BK60)</f>
        <v>0</v>
      </c>
      <c r="BP60" s="76">
        <f>IF($BD$15&lt;3,0,(G60*H60)/173.33)</f>
        <v>0</v>
      </c>
      <c r="BQ60" s="50"/>
      <c r="BR60" s="113">
        <f>IF($BD$15=3,0,BN60)</f>
        <v>0</v>
      </c>
      <c r="BS60" s="114">
        <f>IF($BD$15=3,0,BO60)</f>
        <v>0</v>
      </c>
      <c r="BT60" s="76">
        <f>IF($BD$15&lt;4,0,(G60*H60)/173.33)</f>
        <v>0</v>
      </c>
      <c r="BU60" s="50"/>
      <c r="BV60" s="113">
        <f>IF($BD$15=4,0,BR60)</f>
        <v>0</v>
      </c>
      <c r="BW60" s="114">
        <f>IF($BD$15=4,0,BS60)</f>
        <v>0</v>
      </c>
      <c r="BX60" s="76">
        <f>IF($BD$15&lt;5,0,(G60*H60)/173.33)</f>
        <v>0</v>
      </c>
      <c r="BY60" s="115"/>
      <c r="BZ60" s="113">
        <f t="shared" si="23"/>
        <v>0</v>
      </c>
      <c r="CA60" s="114">
        <f t="shared" si="12"/>
        <v>0</v>
      </c>
      <c r="CB60" s="76">
        <f>IF($BD$15&lt;6,0,(G60*H60)/173.33)</f>
        <v>0</v>
      </c>
      <c r="CC60" s="50"/>
      <c r="CD60" s="113">
        <f t="shared" si="13"/>
        <v>0</v>
      </c>
      <c r="CE60" s="114">
        <f t="shared" si="14"/>
        <v>0</v>
      </c>
      <c r="CF60" s="76">
        <f>IF($BD$15&lt;7,0,(G60*H60)/173.33)</f>
        <v>0</v>
      </c>
      <c r="CG60" s="50"/>
      <c r="CH60" s="113">
        <f t="shared" si="15"/>
        <v>0</v>
      </c>
      <c r="CI60" s="114">
        <f t="shared" si="16"/>
        <v>0</v>
      </c>
      <c r="CJ60" s="76">
        <f>IF($BD$15&lt;8,0,(G60*H60)/173.33)</f>
        <v>0</v>
      </c>
      <c r="CK60" s="50"/>
      <c r="CL60" s="113">
        <f t="shared" si="17"/>
        <v>0</v>
      </c>
      <c r="CM60" s="114">
        <f t="shared" si="18"/>
        <v>0</v>
      </c>
      <c r="CN60" s="76">
        <f>IF($BD$15&lt;9,0,(G60*H60)/173.33)</f>
        <v>0</v>
      </c>
      <c r="CO60" s="50"/>
      <c r="CP60" s="113">
        <f t="shared" si="19"/>
        <v>0</v>
      </c>
      <c r="CQ60" s="114">
        <f t="shared" si="20"/>
        <v>0</v>
      </c>
      <c r="CR60" s="76">
        <f>IF($BD$15&lt;10,0,(G60*H60)/173.33)</f>
        <v>0</v>
      </c>
      <c r="CS60" s="115">
        <f>BX60+BT60+BP60+BL60+BH60+CB60+CF60+CJ60+CN60+CR60</f>
        <v>0</v>
      </c>
    </row>
    <row r="61" spans="1:97" ht="17.25" customHeight="1" x14ac:dyDescent="0.25">
      <c r="A61" s="32"/>
      <c r="B61" s="10"/>
      <c r="C61" s="73" t="s">
        <v>53</v>
      </c>
      <c r="F61" s="364" t="s">
        <v>394</v>
      </c>
      <c r="G61" s="364" t="s">
        <v>395</v>
      </c>
      <c r="H61" s="364" t="s">
        <v>396</v>
      </c>
      <c r="I61" s="9"/>
      <c r="M61" s="40"/>
      <c r="N61" s="74"/>
      <c r="O61" s="40"/>
      <c r="P61" s="74"/>
      <c r="Q61" s="40"/>
      <c r="R61" s="74"/>
      <c r="S61" s="40"/>
      <c r="W61" s="40"/>
      <c r="X61" s="74"/>
      <c r="Y61" s="40"/>
      <c r="Z61" s="74"/>
      <c r="AA61" s="40"/>
      <c r="AB61" s="74"/>
      <c r="AC61" s="74"/>
      <c r="AD61" s="74"/>
      <c r="AE61" s="74"/>
      <c r="AI61" s="40"/>
      <c r="AJ61" s="321"/>
      <c r="AK61" s="40"/>
      <c r="AL61" s="321"/>
      <c r="AM61" s="40"/>
      <c r="AN61" s="321"/>
      <c r="AO61" s="40"/>
      <c r="AS61" s="40"/>
      <c r="AT61" s="321"/>
      <c r="AU61" s="40"/>
      <c r="AV61" s="321"/>
      <c r="AW61" s="40"/>
      <c r="AX61" s="321"/>
      <c r="AY61" s="74"/>
      <c r="AZ61" s="321"/>
      <c r="BC61" s="110"/>
      <c r="BD61" s="111"/>
      <c r="BE61" s="116"/>
      <c r="BF61" s="113"/>
      <c r="BG61" s="114"/>
      <c r="BH61" s="76"/>
      <c r="BI61" s="50"/>
      <c r="BJ61" s="113"/>
      <c r="BK61" s="114"/>
      <c r="BL61" s="76"/>
      <c r="BM61" s="50"/>
      <c r="BN61" s="113"/>
      <c r="BO61" s="114"/>
      <c r="BP61" s="76"/>
      <c r="BQ61" s="50"/>
      <c r="BR61" s="113"/>
      <c r="BS61" s="114"/>
      <c r="BT61" s="76"/>
      <c r="BU61" s="50"/>
      <c r="BV61" s="113"/>
      <c r="BW61" s="114"/>
      <c r="BX61" s="76"/>
      <c r="BY61" s="115"/>
      <c r="BZ61" s="113"/>
      <c r="CA61" s="114"/>
      <c r="CB61" s="76"/>
      <c r="CC61" s="50"/>
      <c r="CD61" s="113"/>
      <c r="CE61" s="114"/>
      <c r="CF61" s="76"/>
      <c r="CG61" s="50"/>
      <c r="CH61" s="113"/>
      <c r="CI61" s="114"/>
      <c r="CJ61" s="76"/>
      <c r="CK61" s="50"/>
      <c r="CL61" s="113"/>
      <c r="CM61" s="114"/>
      <c r="CN61" s="76"/>
      <c r="CO61" s="50"/>
      <c r="CP61" s="113"/>
      <c r="CQ61" s="114"/>
      <c r="CR61" s="76"/>
      <c r="CS61" s="115"/>
    </row>
    <row r="62" spans="1:97" ht="17.25" customHeight="1" x14ac:dyDescent="0.25">
      <c r="A62" s="32" t="s">
        <v>236</v>
      </c>
      <c r="B62" s="10"/>
      <c r="D62" s="53" t="str">
        <f>"$"&amp;F62&amp;"/hr"&amp;", "&amp;G62&amp;" hours"</f>
        <v>$/hr,  hours</v>
      </c>
      <c r="E62" s="53"/>
      <c r="F62" s="366"/>
      <c r="G62" s="364"/>
      <c r="H62" s="364"/>
      <c r="I62" s="9"/>
      <c r="J62" s="74">
        <f>IF(BH62=0,0,(F62*G62*H62))</f>
        <v>0</v>
      </c>
      <c r="L62" s="74">
        <f>IF($BD$15&lt;2,0,IF(BL62=0,0,(F62*G62*H62*(1+$BD$7))))</f>
        <v>0</v>
      </c>
      <c r="M62" s="40"/>
      <c r="N62" s="74">
        <f>IF($BD$15&lt;3,0,IF(BP62=0,0,(F62*G62*H62*(1+$BD$7)^2)))</f>
        <v>0</v>
      </c>
      <c r="O62" s="40"/>
      <c r="P62" s="74">
        <f>IF($BD$15&lt;4,0,IF(BT62=0,0,(F62*G62*H62*(1+$BD$7)^3)))</f>
        <v>0</v>
      </c>
      <c r="Q62" s="40"/>
      <c r="R62" s="74">
        <f t="shared" ref="R62:R64" si="35">IF($BD$15&lt;5,0,IF(BX62=0,0,(F62*G62*H62*(1+$BD$7)^4)))</f>
        <v>0</v>
      </c>
      <c r="S62" s="40"/>
      <c r="T62" s="74">
        <f>IF($BD$15&lt;6,0,IF(CB62=0,0,(F62*G62*H62*(1+$BD$7)^5)))</f>
        <v>0</v>
      </c>
      <c r="V62" s="74">
        <f>IF($BD$15&lt;7,0,IF(CF62=0,0,(F62*G62*H62*(1+$BD$7)^6)))</f>
        <v>0</v>
      </c>
      <c r="W62" s="40"/>
      <c r="X62" s="74">
        <f>IF($BD$15&lt;8,0,IF(CJ62=0,0,(F62*G62*H62*(1+$BD$7)^7)))</f>
        <v>0</v>
      </c>
      <c r="Y62" s="40"/>
      <c r="Z62" s="74">
        <f t="shared" ref="Z62:Z64" si="36">IF($BD$15&lt;9,0,IF(CN62=0,0,(F62*G62*H62*(1+$BD$7)^8)))</f>
        <v>0</v>
      </c>
      <c r="AA62" s="40"/>
      <c r="AB62" s="74">
        <f>IF($BD$15&lt;10,0,IF(CR62=0,0,(F62*G62*H62*(1+$BD$7)^9)))</f>
        <v>0</v>
      </c>
      <c r="AC62" s="74"/>
      <c r="AD62" s="74">
        <f>J62+L62+N62+P62+R62+T62+V62+X62+Z62+AB62</f>
        <v>0</v>
      </c>
      <c r="AE62" s="74"/>
      <c r="AF62" s="321">
        <f>IF(BH62=0,0,(F62*G62*H62))*0</f>
        <v>0</v>
      </c>
      <c r="AH62" s="321">
        <f>IF($BD$15&lt;2,0,IF(BL62=0,0,(F62*G62*H62*(1+$BD$7))))*0</f>
        <v>0</v>
      </c>
      <c r="AI62" s="40"/>
      <c r="AJ62" s="321">
        <f>IF($BD$15&lt;3,0,IF(BP62=0,0,(F62*G62*H62*(1+$BD$7)^2)))*0</f>
        <v>0</v>
      </c>
      <c r="AK62" s="40"/>
      <c r="AL62" s="321">
        <f>IF($BD$15&lt;4,0,IF(BT62=0,0,(F62*G62*H62*(1+$BD$7)^3)))*0</f>
        <v>0</v>
      </c>
      <c r="AM62" s="40"/>
      <c r="AN62" s="321">
        <f>IF($BD$15&lt;5,0,IF(BX62=0,0,(F62*G62*H62*(1+$BD$7)^4)))*0</f>
        <v>0</v>
      </c>
      <c r="AO62" s="40"/>
      <c r="AP62" s="321">
        <f>IF($BD$15&lt;6,0,IF(BX62=0,0,(F62*G62*H62*(1+$BD$7)^5)))*0</f>
        <v>0</v>
      </c>
      <c r="AR62" s="321">
        <f>IF($BD$15&lt;7,0,IF(BX62=0,0,(F62*G62*H62*(1+$BD$7)^6)))*0</f>
        <v>0</v>
      </c>
      <c r="AS62" s="40"/>
      <c r="AT62" s="321">
        <f>IF($BD$15&lt;8,0,IF(BX62=0,0,(F62*G62*H62*(1+$BD$7)^7)))*0</f>
        <v>0</v>
      </c>
      <c r="AU62" s="40"/>
      <c r="AV62" s="321">
        <f>IF($BD$15&lt;9,0,IF(BX62=0,0,(F62*G62*H62*(1+$BD$7)^8)))*0</f>
        <v>0</v>
      </c>
      <c r="AW62" s="40"/>
      <c r="AX62" s="321">
        <f>IF($BD$15&lt;10,0,IF(BX62=0,0,(F62*G62*H62*(1+$BD$7)^9)))*0</f>
        <v>0</v>
      </c>
      <c r="AY62" s="74"/>
      <c r="AZ62" s="321">
        <f>AF62+AH62+AJ62+AL62+AN62+AP62+AR62+AT62+AV62+AX62</f>
        <v>0</v>
      </c>
      <c r="BC62" s="110"/>
      <c r="BD62" s="111"/>
      <c r="BE62" s="116"/>
      <c r="BF62" s="113">
        <v>0</v>
      </c>
      <c r="BG62" s="114">
        <v>0</v>
      </c>
      <c r="BH62" s="76">
        <f>(G62*H62)/173.33</f>
        <v>0</v>
      </c>
      <c r="BI62" s="50"/>
      <c r="BJ62" s="113">
        <f>IF($BD$15=1,0,BF62)</f>
        <v>0</v>
      </c>
      <c r="BK62" s="114">
        <f>IF($BD$15=1,0,BG62)</f>
        <v>0</v>
      </c>
      <c r="BL62" s="76">
        <f>IF($BD$15&lt;2,0,(G62*H62)/173.33)</f>
        <v>0</v>
      </c>
      <c r="BM62" s="50"/>
      <c r="BN62" s="113">
        <f>IF($BD$15=2,0,BJ62)</f>
        <v>0</v>
      </c>
      <c r="BO62" s="114">
        <f>IF($BD$15=2,0,BK62)</f>
        <v>0</v>
      </c>
      <c r="BP62" s="76">
        <f>IF($BD$15&lt;3,0,(G62*H62)/173.33)</f>
        <v>0</v>
      </c>
      <c r="BQ62" s="50"/>
      <c r="BR62" s="113">
        <f>IF($BD$15=3,0,BN62)</f>
        <v>0</v>
      </c>
      <c r="BS62" s="114">
        <f>IF($BD$15=3,0,BO62)</f>
        <v>0</v>
      </c>
      <c r="BT62" s="76">
        <f>IF($BD$15&lt;4,0,(G62*H62)/173.33)</f>
        <v>0</v>
      </c>
      <c r="BU62" s="50"/>
      <c r="BV62" s="113">
        <f>IF($BD$15=4,0,BR62)</f>
        <v>0</v>
      </c>
      <c r="BW62" s="114">
        <f>IF($BD$15=4,0,BS62)</f>
        <v>0</v>
      </c>
      <c r="BX62" s="76">
        <f>IF($BD$15&lt;5,0,(G62*H62)/173.33)</f>
        <v>0</v>
      </c>
      <c r="BY62" s="115"/>
      <c r="BZ62" s="113">
        <f t="shared" si="23"/>
        <v>0</v>
      </c>
      <c r="CA62" s="114">
        <f t="shared" si="12"/>
        <v>0</v>
      </c>
      <c r="CB62" s="76">
        <f>IF($BD$15&lt;6,0,(G62*H62)/173.33)</f>
        <v>0</v>
      </c>
      <c r="CC62" s="50"/>
      <c r="CD62" s="113">
        <f t="shared" si="13"/>
        <v>0</v>
      </c>
      <c r="CE62" s="114">
        <f t="shared" si="14"/>
        <v>0</v>
      </c>
      <c r="CF62" s="76">
        <f>IF($BD$15&lt;7,0,(G62*H62)/173.33)</f>
        <v>0</v>
      </c>
      <c r="CG62" s="50"/>
      <c r="CH62" s="113">
        <f t="shared" si="15"/>
        <v>0</v>
      </c>
      <c r="CI62" s="114">
        <f t="shared" si="16"/>
        <v>0</v>
      </c>
      <c r="CJ62" s="76">
        <f>IF($BD$15&lt;8,0,(G62*H62)/173.33)</f>
        <v>0</v>
      </c>
      <c r="CK62" s="50"/>
      <c r="CL62" s="113">
        <f t="shared" si="17"/>
        <v>0</v>
      </c>
      <c r="CM62" s="114">
        <f t="shared" si="18"/>
        <v>0</v>
      </c>
      <c r="CN62" s="76">
        <f>IF($BD$15&lt;9,0,(G62*H62)/173.33)</f>
        <v>0</v>
      </c>
      <c r="CO62" s="50"/>
      <c r="CP62" s="113">
        <f t="shared" si="19"/>
        <v>0</v>
      </c>
      <c r="CQ62" s="114">
        <f t="shared" si="20"/>
        <v>0</v>
      </c>
      <c r="CR62" s="76">
        <f>IF($BD$15&lt;10,0,(G62*H62)/173.33)</f>
        <v>0</v>
      </c>
      <c r="CS62" s="115">
        <f t="shared" si="21"/>
        <v>0</v>
      </c>
    </row>
    <row r="63" spans="1:97" ht="17.25" customHeight="1" x14ac:dyDescent="0.25">
      <c r="A63" s="32"/>
      <c r="B63" s="10"/>
      <c r="C63" s="73" t="s">
        <v>53</v>
      </c>
      <c r="F63" s="364" t="s">
        <v>394</v>
      </c>
      <c r="G63" s="364" t="s">
        <v>395</v>
      </c>
      <c r="H63" s="364" t="s">
        <v>396</v>
      </c>
      <c r="I63" s="9"/>
      <c r="M63" s="40"/>
      <c r="N63" s="74"/>
      <c r="O63" s="40"/>
      <c r="P63" s="74"/>
      <c r="Q63" s="40"/>
      <c r="R63" s="74"/>
      <c r="S63" s="40"/>
      <c r="W63" s="40"/>
      <c r="X63" s="74"/>
      <c r="Y63" s="40"/>
      <c r="Z63" s="74"/>
      <c r="AA63" s="40"/>
      <c r="AB63" s="74"/>
      <c r="AC63" s="74"/>
      <c r="AD63" s="74"/>
      <c r="AE63" s="74"/>
      <c r="AI63" s="40"/>
      <c r="AJ63" s="321"/>
      <c r="AK63" s="40"/>
      <c r="AL63" s="321"/>
      <c r="AM63" s="40"/>
      <c r="AN63" s="321"/>
      <c r="AO63" s="40"/>
      <c r="AS63" s="40"/>
      <c r="AT63" s="321"/>
      <c r="AU63" s="40"/>
      <c r="AV63" s="321"/>
      <c r="AW63" s="40"/>
      <c r="AX63" s="321"/>
      <c r="AY63" s="74"/>
      <c r="AZ63" s="321"/>
      <c r="BC63" s="110"/>
      <c r="BD63" s="111"/>
      <c r="BE63" s="116"/>
      <c r="BF63" s="113"/>
      <c r="BG63" s="114"/>
      <c r="BH63" s="76"/>
      <c r="BI63" s="50"/>
      <c r="BJ63" s="113"/>
      <c r="BK63" s="114"/>
      <c r="BL63" s="76"/>
      <c r="BM63" s="50"/>
      <c r="BN63" s="113"/>
      <c r="BO63" s="114"/>
      <c r="BP63" s="76"/>
      <c r="BQ63" s="50"/>
      <c r="BR63" s="113"/>
      <c r="BS63" s="114"/>
      <c r="BT63" s="76"/>
      <c r="BU63" s="50"/>
      <c r="BV63" s="113"/>
      <c r="BW63" s="114"/>
      <c r="BX63" s="76"/>
      <c r="BY63" s="115"/>
      <c r="BZ63" s="113"/>
      <c r="CA63" s="114"/>
      <c r="CB63" s="76"/>
      <c r="CC63" s="50"/>
      <c r="CD63" s="113"/>
      <c r="CE63" s="114"/>
      <c r="CF63" s="76"/>
      <c r="CG63" s="50"/>
      <c r="CH63" s="113"/>
      <c r="CI63" s="114"/>
      <c r="CJ63" s="76"/>
      <c r="CK63" s="50"/>
      <c r="CL63" s="113"/>
      <c r="CM63" s="114"/>
      <c r="CN63" s="76"/>
      <c r="CO63" s="50"/>
      <c r="CP63" s="113"/>
      <c r="CQ63" s="114"/>
      <c r="CR63" s="76"/>
      <c r="CS63" s="115"/>
    </row>
    <row r="64" spans="1:97" ht="17.25" customHeight="1" x14ac:dyDescent="0.25">
      <c r="A64" s="32" t="s">
        <v>236</v>
      </c>
      <c r="B64" s="10"/>
      <c r="D64" s="53" t="str">
        <f>"$"&amp;F64&amp;"/hr"&amp;", "&amp;G64&amp;" hours"</f>
        <v>$/hr,  hours</v>
      </c>
      <c r="E64" s="53"/>
      <c r="F64" s="366"/>
      <c r="G64" s="364"/>
      <c r="H64" s="364"/>
      <c r="I64" s="9"/>
      <c r="J64" s="74">
        <f>IF(BH64=0,0,(F64*G64*H64))</f>
        <v>0</v>
      </c>
      <c r="L64" s="74">
        <f>IF($BD$15&lt;2,0,IF(BL64=0,0,(F64*G64*H64*(1+$BD$7))))</f>
        <v>0</v>
      </c>
      <c r="M64" s="40"/>
      <c r="N64" s="74">
        <f t="shared" ref="N64" si="37">IF($BD$15&lt;3,0,IF(BP64=0,0,(F64*G64*H64*(1+$BD$7)^2)))</f>
        <v>0</v>
      </c>
      <c r="O64" s="40"/>
      <c r="P64" s="74">
        <f t="shared" ref="P64" si="38">IF($BD$15&lt;4,0,IF(BT64=0,0,(F64*G64*H64*(1+$BD$7)^3)))</f>
        <v>0</v>
      </c>
      <c r="Q64" s="40"/>
      <c r="R64" s="74">
        <f t="shared" si="35"/>
        <v>0</v>
      </c>
      <c r="S64" s="40"/>
      <c r="T64" s="74">
        <f>IF($BD$15&lt;6,0,IF(CB64=0,0,(F64*G64*H64*(1+$BD$7)^5)))</f>
        <v>0</v>
      </c>
      <c r="V64" s="74">
        <f t="shared" ref="V64" si="39">IF($BD$15&lt;7,0,IF(CF64=0,0,(F64*G64*H64*(1+$BD$7)^6)))</f>
        <v>0</v>
      </c>
      <c r="W64" s="40"/>
      <c r="X64" s="74">
        <f t="shared" ref="X64" si="40">IF($BD$15&lt;8,0,IF(CJ64=0,0,(F64*G64*H64*(1+$BD$7)^7)))</f>
        <v>0</v>
      </c>
      <c r="Y64" s="40"/>
      <c r="Z64" s="74">
        <f t="shared" si="36"/>
        <v>0</v>
      </c>
      <c r="AA64" s="40"/>
      <c r="AB64" s="74">
        <f t="shared" ref="AB64" si="41">IF($BD$15&lt;10,0,IF(CR64=0,0,(F64*G64*H64*(1+$BD$7)^9)))</f>
        <v>0</v>
      </c>
      <c r="AC64" s="74"/>
      <c r="AD64" s="11">
        <f>J64+L64+N64+P64+R64+T64+V64+X64+Z64+AB64</f>
        <v>0</v>
      </c>
      <c r="AE64" s="74"/>
      <c r="AF64" s="321">
        <f>IF(BH64=0,0,(F64*G64*H64))*0</f>
        <v>0</v>
      </c>
      <c r="AH64" s="321">
        <f>IF($BD$15&lt;2,0,IF(BL64=0,0,(F64*G64*H64*(1+$BD$7))))*0</f>
        <v>0</v>
      </c>
      <c r="AI64" s="40"/>
      <c r="AJ64" s="321">
        <f>IF($BD$15&lt;3,0,IF(BP64=0,0,(F64*G64*H64*(1+$BD$7)^2)))*0</f>
        <v>0</v>
      </c>
      <c r="AK64" s="40"/>
      <c r="AL64" s="321">
        <f>IF($BD$15&lt;4,0,IF(BT64=0,0,(F64*G64*H64*(1+$BD$7)^3)))*0</f>
        <v>0</v>
      </c>
      <c r="AM64" s="40"/>
      <c r="AN64" s="321">
        <f>IF($BD$15&lt;5,0,IF(BX64=0,0,(F64*G64*H64*(1+$BD$7)^4)))*0</f>
        <v>0</v>
      </c>
      <c r="AO64" s="40"/>
      <c r="AP64" s="321">
        <f>IF($BD$15&lt;6,0,IF(BX64=0,0,(F64*G64*H64*(1+$BD$7)^5)))*0</f>
        <v>0</v>
      </c>
      <c r="AR64" s="321">
        <f>IF($BD$15&lt;7,0,IF(BX64=0,0,(F64*G64*H64*(1+$BD$7)^6)))*0</f>
        <v>0</v>
      </c>
      <c r="AS64" s="40"/>
      <c r="AT64" s="321">
        <f>IF($BD$15&lt;8,0,IF(BX64=0,0,(F64*G64*H64*(1+$BD$7)^7)))*0</f>
        <v>0</v>
      </c>
      <c r="AU64" s="40"/>
      <c r="AV64" s="321">
        <f>IF($BD$15&lt;9,0,IF(BX64=0,0,(F64*G64*H64*(1+$BD$7)^8)))*0</f>
        <v>0</v>
      </c>
      <c r="AW64" s="40"/>
      <c r="AX64" s="321">
        <f>IF($BD$15&lt;10,0,IF(BX64=0,0,(F64*G64*H64*(1+$BD$7)^9)))*0</f>
        <v>0</v>
      </c>
      <c r="AY64" s="74"/>
      <c r="AZ64" s="331">
        <f>AF64+AH64+AJ64+AL64+AN64+AP64+AR64+AT64+AV64+AX64</f>
        <v>0</v>
      </c>
      <c r="BC64" s="110"/>
      <c r="BD64" s="111"/>
      <c r="BE64" s="116"/>
      <c r="BF64" s="113">
        <v>0</v>
      </c>
      <c r="BG64" s="114">
        <v>0</v>
      </c>
      <c r="BH64" s="76">
        <f>(G64*H64)/173.33</f>
        <v>0</v>
      </c>
      <c r="BI64" s="50"/>
      <c r="BJ64" s="113">
        <f>IF($BD$15=1,0,BF64)</f>
        <v>0</v>
      </c>
      <c r="BK64" s="114">
        <f>IF($BD$15=1,0,BG64)</f>
        <v>0</v>
      </c>
      <c r="BL64" s="76">
        <f>IF($BD$15&lt;2,0,(G64*H64)/173.33)</f>
        <v>0</v>
      </c>
      <c r="BM64" s="50"/>
      <c r="BN64" s="113">
        <f>IF($BD$15=2,0,BJ64)</f>
        <v>0</v>
      </c>
      <c r="BO64" s="114">
        <f>IF($BD$15=2,0,BK64)</f>
        <v>0</v>
      </c>
      <c r="BP64" s="76">
        <f>IF($BD$15&lt;3,0,(G64*H64)/173.33)</f>
        <v>0</v>
      </c>
      <c r="BQ64" s="50"/>
      <c r="BR64" s="113">
        <f>IF($BD$15=3,0,BN64)</f>
        <v>0</v>
      </c>
      <c r="BS64" s="114">
        <f>IF($BD$15=3,0,BO64)</f>
        <v>0</v>
      </c>
      <c r="BT64" s="76">
        <f>IF($BD$15&lt;4,0,(G64*H64)/173.33)</f>
        <v>0</v>
      </c>
      <c r="BU64" s="50"/>
      <c r="BV64" s="113">
        <f>IF($BD$15=4,0,BR64)</f>
        <v>0</v>
      </c>
      <c r="BW64" s="114">
        <f>IF($BD$15=4,0,BS64)</f>
        <v>0</v>
      </c>
      <c r="BX64" s="76">
        <f>IF($BD$15&lt;5,0,(G64*H64)/173.33)</f>
        <v>0</v>
      </c>
      <c r="BY64" s="115"/>
      <c r="BZ64" s="113">
        <f>IF($BD$15=5,0,BV64)</f>
        <v>0</v>
      </c>
      <c r="CA64" s="114">
        <f t="shared" si="12"/>
        <v>0</v>
      </c>
      <c r="CB64" s="76">
        <f>IF($BD$15&lt;6,0,(G64*H64)/173.33)</f>
        <v>0</v>
      </c>
      <c r="CC64" s="50"/>
      <c r="CD64" s="113">
        <f>IF($BD$15=6,0,BZ64)</f>
        <v>0</v>
      </c>
      <c r="CE64" s="114">
        <f t="shared" si="14"/>
        <v>0</v>
      </c>
      <c r="CF64" s="76">
        <f>IF($BD$15&lt;7,0,(G64*H64)/173.33)</f>
        <v>0</v>
      </c>
      <c r="CG64" s="50"/>
      <c r="CH64" s="113">
        <f t="shared" si="15"/>
        <v>0</v>
      </c>
      <c r="CI64" s="114">
        <f t="shared" si="16"/>
        <v>0</v>
      </c>
      <c r="CJ64" s="76">
        <f>IF($BD$15&lt;8,0,(G64*H64)/173.33)</f>
        <v>0</v>
      </c>
      <c r="CK64" s="50"/>
      <c r="CL64" s="113">
        <f t="shared" si="17"/>
        <v>0</v>
      </c>
      <c r="CM64" s="114">
        <f>IF($BD$15=8,0,CI64)</f>
        <v>0</v>
      </c>
      <c r="CN64" s="76">
        <f>IF($BD$15&lt;9,0,(G64*H64)/173.33)</f>
        <v>0</v>
      </c>
      <c r="CO64" s="50"/>
      <c r="CP64" s="113">
        <f t="shared" si="19"/>
        <v>0</v>
      </c>
      <c r="CQ64" s="114">
        <f t="shared" si="20"/>
        <v>0</v>
      </c>
      <c r="CR64" s="76">
        <f>IF($BD$15&lt;10,0,(G64*H64)/173.33)</f>
        <v>0</v>
      </c>
      <c r="CS64" s="115">
        <f t="shared" si="21"/>
        <v>0</v>
      </c>
    </row>
    <row r="65" spans="1:94" ht="9" customHeight="1" x14ac:dyDescent="0.25">
      <c r="A65" s="32"/>
      <c r="I65" s="9"/>
      <c r="J65" s="14"/>
      <c r="L65" s="14"/>
      <c r="M65" s="40"/>
      <c r="N65" s="71"/>
      <c r="O65" s="40"/>
      <c r="P65" s="71"/>
      <c r="Q65" s="40"/>
      <c r="R65" s="71"/>
      <c r="S65" s="40"/>
      <c r="T65" s="14"/>
      <c r="V65" s="14"/>
      <c r="W65" s="40"/>
      <c r="X65" s="71"/>
      <c r="Y65" s="40"/>
      <c r="Z65" s="71"/>
      <c r="AA65" s="40"/>
      <c r="AB65" s="71"/>
      <c r="AC65" s="40"/>
      <c r="AD65" s="74"/>
      <c r="AF65" s="324"/>
      <c r="AH65" s="324"/>
      <c r="AI65" s="40"/>
      <c r="AJ65" s="333"/>
      <c r="AK65" s="40"/>
      <c r="AL65" s="333"/>
      <c r="AM65" s="40"/>
      <c r="AN65" s="333"/>
      <c r="AO65" s="40"/>
      <c r="AP65" s="324"/>
      <c r="AR65" s="324"/>
      <c r="AS65" s="40"/>
      <c r="AT65" s="333"/>
      <c r="AU65" s="40"/>
      <c r="AV65" s="333"/>
      <c r="AW65" s="40"/>
      <c r="AX65" s="333"/>
      <c r="AY65" s="40"/>
      <c r="AZ65" s="321"/>
      <c r="BF65" s="55"/>
      <c r="BJ65" s="55"/>
      <c r="BN65" s="55"/>
      <c r="BR65" s="55"/>
      <c r="BV65" s="55"/>
      <c r="BZ65" s="55"/>
      <c r="CD65" s="55"/>
      <c r="CH65" s="55"/>
      <c r="CL65" s="55"/>
      <c r="CP65" s="55"/>
    </row>
    <row r="66" spans="1:94" x14ac:dyDescent="0.25">
      <c r="A66" s="32"/>
      <c r="C66" s="73" t="s">
        <v>4</v>
      </c>
      <c r="I66" s="9"/>
      <c r="J66" s="74">
        <f>SUM(J22:J65)</f>
        <v>0</v>
      </c>
      <c r="L66" s="74">
        <f>SUM(L22:L64)</f>
        <v>0</v>
      </c>
      <c r="M66" s="40"/>
      <c r="N66" s="74">
        <f>SUM(N22:N64)</f>
        <v>0</v>
      </c>
      <c r="O66" s="40"/>
      <c r="P66" s="74">
        <f>SUM(P22:P64)</f>
        <v>0</v>
      </c>
      <c r="Q66" s="40"/>
      <c r="R66" s="74">
        <f>SUM(R22:R64)</f>
        <v>0</v>
      </c>
      <c r="S66" s="40"/>
      <c r="T66" s="74">
        <f>SUM(T22:T65)</f>
        <v>0</v>
      </c>
      <c r="V66" s="74">
        <f>SUM(V22:V64)</f>
        <v>0</v>
      </c>
      <c r="W66" s="40"/>
      <c r="X66" s="74">
        <f>SUM(X22:X64)</f>
        <v>0</v>
      </c>
      <c r="Y66" s="40"/>
      <c r="Z66" s="74">
        <f>SUM(Z22:Z64)</f>
        <v>0</v>
      </c>
      <c r="AA66" s="40"/>
      <c r="AB66" s="74">
        <f>SUM(AB22:AB64)</f>
        <v>0</v>
      </c>
      <c r="AC66" s="74"/>
      <c r="AD66" s="74">
        <f>J66+L66+N66+P66+R66+T66+V66+X66+Z66+AB66</f>
        <v>0</v>
      </c>
      <c r="AE66" s="74"/>
      <c r="AF66" s="321">
        <f>SUM(AF22:AF65)</f>
        <v>0</v>
      </c>
      <c r="AH66" s="321">
        <f>SUM(AH22:AH64)</f>
        <v>0</v>
      </c>
      <c r="AI66" s="40"/>
      <c r="AJ66" s="321">
        <f>SUM(AJ22:AJ64)</f>
        <v>0</v>
      </c>
      <c r="AK66" s="40"/>
      <c r="AL66" s="321">
        <f>SUM(AL22:AL64)</f>
        <v>0</v>
      </c>
      <c r="AM66" s="40"/>
      <c r="AN66" s="321">
        <f>SUM(AN22:AN64)</f>
        <v>0</v>
      </c>
      <c r="AO66" s="40"/>
      <c r="AP66" s="321">
        <f>SUM(AP22:AP65)</f>
        <v>0</v>
      </c>
      <c r="AR66" s="321">
        <f>SUM(AR22:AR64)</f>
        <v>0</v>
      </c>
      <c r="AS66" s="40"/>
      <c r="AT66" s="321">
        <f>SUM(AT22:AT64)</f>
        <v>0</v>
      </c>
      <c r="AU66" s="40"/>
      <c r="AV66" s="321">
        <f>SUM(AV22:AV64)</f>
        <v>0</v>
      </c>
      <c r="AW66" s="40"/>
      <c r="AX66" s="321">
        <f>SUM(AX22:AX64)</f>
        <v>0</v>
      </c>
      <c r="AY66" s="74"/>
      <c r="AZ66" s="321">
        <f>AF66+AH66+AJ66+AL66+AN66+AP66+AR66+AT66+AV66+AX66</f>
        <v>0</v>
      </c>
      <c r="BC66" s="58" t="s">
        <v>259</v>
      </c>
      <c r="BD66" s="58">
        <f>G217</f>
        <v>0</v>
      </c>
      <c r="BF66" s="55"/>
      <c r="BJ66" s="55"/>
      <c r="BN66" s="55"/>
      <c r="BR66" s="55"/>
      <c r="BV66" s="55"/>
      <c r="BZ66" s="55"/>
      <c r="CD66" s="55"/>
      <c r="CH66" s="55"/>
      <c r="CL66" s="55"/>
      <c r="CP66" s="55"/>
    </row>
    <row r="67" spans="1:94" x14ac:dyDescent="0.25">
      <c r="H67" s="26"/>
      <c r="I67" s="9"/>
      <c r="M67" s="40"/>
      <c r="N67" s="40"/>
      <c r="O67" s="40"/>
      <c r="P67" s="40"/>
      <c r="Q67" s="40"/>
      <c r="R67" s="40"/>
      <c r="S67" s="40"/>
      <c r="W67" s="40"/>
      <c r="X67" s="40"/>
      <c r="Y67" s="40"/>
      <c r="Z67" s="40"/>
      <c r="AA67" s="40"/>
      <c r="AB67" s="40"/>
      <c r="AC67" s="40"/>
      <c r="AD67" s="74"/>
      <c r="AI67" s="40"/>
      <c r="AJ67" s="85"/>
      <c r="AK67" s="40"/>
      <c r="AL67" s="85"/>
      <c r="AM67" s="40"/>
      <c r="AN67" s="85"/>
      <c r="AO67" s="40"/>
      <c r="AS67" s="40"/>
      <c r="AT67" s="85"/>
      <c r="AU67" s="40"/>
      <c r="AV67" s="85"/>
      <c r="AW67" s="40"/>
      <c r="AX67" s="85"/>
      <c r="AY67" s="40"/>
      <c r="AZ67" s="321"/>
      <c r="BF67" s="55"/>
      <c r="BJ67" s="55"/>
      <c r="BN67" s="55"/>
      <c r="BR67" s="55"/>
      <c r="BV67" s="55"/>
      <c r="BZ67" s="55"/>
      <c r="CD67" s="55"/>
      <c r="CH67" s="55"/>
      <c r="CL67" s="55"/>
      <c r="CP67" s="55"/>
    </row>
    <row r="68" spans="1:94" x14ac:dyDescent="0.25">
      <c r="B68" s="10" t="s">
        <v>5</v>
      </c>
      <c r="C68" s="10" t="s">
        <v>6</v>
      </c>
      <c r="H68" s="66" t="s">
        <v>33</v>
      </c>
      <c r="I68" s="9"/>
      <c r="M68" s="40"/>
      <c r="N68" s="40"/>
      <c r="O68" s="40"/>
      <c r="P68" s="40"/>
      <c r="Q68" s="40"/>
      <c r="R68" s="40"/>
      <c r="S68" s="40"/>
      <c r="W68" s="40"/>
      <c r="X68" s="40"/>
      <c r="Y68" s="40"/>
      <c r="Z68" s="40"/>
      <c r="AA68" s="40"/>
      <c r="AB68" s="40"/>
      <c r="AC68" s="40"/>
      <c r="AD68" s="74"/>
      <c r="AI68" s="40"/>
      <c r="AJ68" s="85"/>
      <c r="AK68" s="40"/>
      <c r="AL68" s="85"/>
      <c r="AM68" s="40"/>
      <c r="AN68" s="85"/>
      <c r="AO68" s="40"/>
      <c r="AS68" s="40"/>
      <c r="AT68" s="85"/>
      <c r="AU68" s="40"/>
      <c r="AV68" s="85"/>
      <c r="AW68" s="40"/>
      <c r="AX68" s="85"/>
      <c r="AY68" s="40"/>
      <c r="AZ68" s="321"/>
      <c r="BC68" s="18" t="s">
        <v>363</v>
      </c>
      <c r="BD68" s="173" t="s">
        <v>252</v>
      </c>
      <c r="BF68" s="55"/>
      <c r="BJ68" s="55"/>
      <c r="BN68" s="55"/>
      <c r="BR68" s="55"/>
      <c r="BV68" s="55"/>
      <c r="BZ68" s="55"/>
      <c r="CD68" s="55"/>
      <c r="CH68" s="55"/>
      <c r="CL68" s="55"/>
      <c r="CP68" s="55"/>
    </row>
    <row r="69" spans="1:94" x14ac:dyDescent="0.25">
      <c r="A69" s="32" t="str">
        <f>A22</f>
        <v>Regular Faculty</v>
      </c>
      <c r="B69" s="10"/>
      <c r="C69" s="73" t="str">
        <f>C21</f>
        <v xml:space="preserve">PI: </v>
      </c>
      <c r="H69" s="346">
        <f>VLOOKUP(A69,Hidden_Lookups!$A$2:$B$13,2,FALSE)</f>
        <v>0.33100000000000002</v>
      </c>
      <c r="I69" s="9"/>
      <c r="J69" s="74">
        <f>IF($BD$16="Yes",$H69*J22*(1+$BD$8),$H69*J22)</f>
        <v>0</v>
      </c>
      <c r="K69" s="40"/>
      <c r="L69" s="74">
        <f>IF($BD$16="Yes",$H69*L22*(1+$BD$8)^2,$H69*L22*(1+$BD$8))</f>
        <v>0</v>
      </c>
      <c r="M69" s="40"/>
      <c r="N69" s="74">
        <f>IF($BD$16="Yes",$H69*N22*(1+$BD$8)^3,$H69*N22*(1+$BD$8)^2)</f>
        <v>0</v>
      </c>
      <c r="O69" s="40"/>
      <c r="P69" s="74">
        <f>IF($BD$16="Yes",$H69*P22*(1+$BD$8)^4,$H69*P22*(1+$BD$8)^3)</f>
        <v>0</v>
      </c>
      <c r="Q69" s="40"/>
      <c r="R69" s="74">
        <f>IF($BD$16="Yes",$H69*R22*(1+$BD$8)^5,$H69*R22*(1+$BD$8)^4)</f>
        <v>0</v>
      </c>
      <c r="S69" s="74"/>
      <c r="T69" s="74">
        <f>IF($BD$16="Yes",$H69*T22*(1+$BD$8)^6,$H69*T22*(1+$BD$8)^5)</f>
        <v>0</v>
      </c>
      <c r="V69" s="74">
        <f>IF($BD$16="Yes",$H69*V22*(1+$BD$8)^7,$H69*V22*(1+$BD$8)^6)</f>
        <v>0</v>
      </c>
      <c r="W69" s="74"/>
      <c r="X69" s="74">
        <f>IF($BD$16="Yes",$H69*X22*(1+$BD$8)^8,$H69*X22*(1+$BD$8)^7)</f>
        <v>0</v>
      </c>
      <c r="Y69" s="74"/>
      <c r="Z69" s="74">
        <f>IF($BD$16="Yes",$H69*Z22*(1+$BD$8)^9,$H69*Z22*(1+$BD$8)^8)</f>
        <v>0</v>
      </c>
      <c r="AA69" s="74"/>
      <c r="AB69" s="74">
        <f>IF($BD$16="Yes",$H69*AB22*(1+$BD$8)^10,$H69*AB22*(1+$BD$8)^9)</f>
        <v>0</v>
      </c>
      <c r="AC69" s="74"/>
      <c r="AD69" s="74">
        <f>J69+L69+N69+P69+R69+T69+V69+X69+Z69+AB69</f>
        <v>0</v>
      </c>
      <c r="AE69" s="74"/>
      <c r="AF69" s="321">
        <f>IF($BD$16="Yes",$H69*AF22*(1+$BD$8),$H69*AF22)</f>
        <v>0</v>
      </c>
      <c r="AG69" s="40"/>
      <c r="AH69" s="321">
        <f>IF($BD$16="Yes",$H69*AH22*(1+$BD$8)^2,$H69*AH22*(1+$BD$8))</f>
        <v>0</v>
      </c>
      <c r="AI69" s="40"/>
      <c r="AJ69" s="321">
        <f>IF($BD$16="Yes",$H69*AJ22*(1+$BD$8)^3,$H69*AJ22*(1+$BD$8)^2)</f>
        <v>0</v>
      </c>
      <c r="AK69" s="40"/>
      <c r="AL69" s="321">
        <f>IF($BD$16="Yes",$H69*AL22*(1+$BD$8)^4,$H69*AL22*(1+$BD$8)^3)</f>
        <v>0</v>
      </c>
      <c r="AM69" s="40"/>
      <c r="AN69" s="321">
        <f>IF($BD$16="Yes",$H69*AN22*(1+$BD$8)^5,$H69*AN22*(1+$BD$8)^4)</f>
        <v>0</v>
      </c>
      <c r="AO69" s="74"/>
      <c r="AP69" s="321">
        <f>IF($BD$16="Yes",$H69*AP22*(1+$BD$8)^6,$H69*AP22*(1+$BD$8)^5)</f>
        <v>0</v>
      </c>
      <c r="AR69" s="321">
        <f>IF($BD$16="Yes",$H69*AR22*(1+$BD$8)^7,$H69*AR22*(1+$BD$8)^6)</f>
        <v>0</v>
      </c>
      <c r="AS69" s="74"/>
      <c r="AT69" s="321">
        <f>IF($BD$16="Yes",$H69*AT22*(1+$BD$8)^8,$H69*AT22*(1+$BD$8)^7)</f>
        <v>0</v>
      </c>
      <c r="AU69" s="74"/>
      <c r="AV69" s="321">
        <f>IF($BD$16="Yes",$H69*AV22*(1+$BD$8)^9,$H69*AV22*(1+$BD$8)^8)</f>
        <v>0</v>
      </c>
      <c r="AW69" s="74"/>
      <c r="AX69" s="321">
        <f>IF($BD$16="Yes",$H69*AX22*(1+$BD$8)^10,$H69*AX22*(1+$BD$8)^9)</f>
        <v>0</v>
      </c>
      <c r="AY69" s="74"/>
      <c r="AZ69" s="321">
        <f>AF69+AH69+AJ69+AL69+AN69+AP69+AR69+AT69+AV69+AX69</f>
        <v>0</v>
      </c>
      <c r="BC69" s="398" t="s">
        <v>491</v>
      </c>
      <c r="BD69" s="399"/>
      <c r="BE69" s="397"/>
      <c r="BF69" s="400"/>
      <c r="BG69" s="381"/>
      <c r="BH69" s="401"/>
      <c r="BJ69" s="55"/>
      <c r="BN69" s="55"/>
      <c r="BR69" s="55"/>
      <c r="BV69" s="55"/>
      <c r="BZ69" s="55"/>
      <c r="CD69" s="55"/>
      <c r="CH69" s="55"/>
      <c r="CL69" s="55"/>
      <c r="CP69" s="55"/>
    </row>
    <row r="70" spans="1:94" x14ac:dyDescent="0.25">
      <c r="A70" s="32" t="str">
        <f>A24</f>
        <v>Regular Faculty</v>
      </c>
      <c r="B70" s="10"/>
      <c r="C70" s="73" t="str">
        <f>C23</f>
        <v xml:space="preserve">Co-PI: </v>
      </c>
      <c r="H70" s="346">
        <f>VLOOKUP(A70,Hidden_Lookups!$A$2:$B$13,2,FALSE)</f>
        <v>0.33100000000000002</v>
      </c>
      <c r="I70" s="9"/>
      <c r="J70" s="74">
        <f>IF($BD$16="Yes",$H70*J24*(1+$BD$8),$H70*J24)</f>
        <v>0</v>
      </c>
      <c r="K70" s="40"/>
      <c r="L70" s="74">
        <f>IF($BD$16="Yes",$H70*L24*(1+$BD$8)^2,$H70*L24*(1+$BD$8))</f>
        <v>0</v>
      </c>
      <c r="M70" s="40"/>
      <c r="N70" s="74">
        <f>IF($BD$16="Yes",$H70*N24*(1+$BD$8)^3,$H70*N24*(1+$BD$8)^2)</f>
        <v>0</v>
      </c>
      <c r="O70" s="40"/>
      <c r="P70" s="74">
        <f>IF($BD$16="Yes",$H70*P24*(1+$BD$8)^4,$H70*P24*(1+$BD$8)^3)</f>
        <v>0</v>
      </c>
      <c r="Q70" s="40"/>
      <c r="R70" s="74">
        <f>IF($BD$16="Yes",$H70*R24*(1+$BD$8)^5,$H70*R24*(1+$BD$8)^4)</f>
        <v>0</v>
      </c>
      <c r="S70" s="74"/>
      <c r="T70" s="74">
        <f>IF($BD$16="Yes",$H70*T24*(1+$BD$8)^6,$H70*T24*(1+$BD$8)^5)</f>
        <v>0</v>
      </c>
      <c r="V70" s="74">
        <f>IF($BD$16="Yes",$H70*V24*(1+$BD$8)^7,$H70*V24*(1+$BD$8)^6)</f>
        <v>0</v>
      </c>
      <c r="W70" s="74"/>
      <c r="X70" s="74">
        <f>IF($BD$16="Yes",$H70*X24*(1+$BD$8)^8,$H70*X24*(1+$BD$8)^7)</f>
        <v>0</v>
      </c>
      <c r="Y70" s="74"/>
      <c r="Z70" s="74">
        <f>IF($BD$16="Yes",$H70*Z24*(1+$BD$8)^9,$H70*Z24*(1+$BD$8)^8)</f>
        <v>0</v>
      </c>
      <c r="AA70" s="74"/>
      <c r="AB70" s="74">
        <f>IF($BD$16="Yes",$H70*AB24*(1+$BD$8)^10,$H70*AB24*(1+$BD$8)^9)</f>
        <v>0</v>
      </c>
      <c r="AC70" s="74"/>
      <c r="AD70" s="74">
        <f t="shared" ref="AD70:AD85" si="42">J70+L70+N70+P70+R70+T70+V70+X70+Z70+AB70</f>
        <v>0</v>
      </c>
      <c r="AE70" s="74"/>
      <c r="AF70" s="321">
        <f>IF($BD$16="Yes",$H70*AF24*(1+$BD$8),$H70*AF24)</f>
        <v>0</v>
      </c>
      <c r="AG70" s="40"/>
      <c r="AH70" s="321">
        <f>IF($BD$16="Yes",$H70*AH24*(1+$BD$8)^2,$H70*AH24*(1+$BD$8))</f>
        <v>0</v>
      </c>
      <c r="AI70" s="40"/>
      <c r="AJ70" s="321">
        <f>IF($BD$16="Yes",$H70*AJ24*(1+$BD$8)^3,$H70*AJ24*(1+$BD$8)^2)</f>
        <v>0</v>
      </c>
      <c r="AK70" s="40"/>
      <c r="AL70" s="321">
        <f>IF($BD$16="Yes",$H70*AL24*(1+$BD$8)^4,$H70*AL24*(1+$BD$8)^3)</f>
        <v>0</v>
      </c>
      <c r="AM70" s="40"/>
      <c r="AN70" s="321">
        <f>IF($BD$16="Yes",$H70*AN24*(1+$BD$8)^5,$H70*AN24*(1+$BD$8)^4)</f>
        <v>0</v>
      </c>
      <c r="AO70" s="74"/>
      <c r="AP70" s="321">
        <f>IF($BD$16="Yes",$H70*AP24*(1+$BD$8)^6,$H70*AP24*(1+$BD$8)^5)</f>
        <v>0</v>
      </c>
      <c r="AR70" s="321">
        <f>IF($BD$16="Yes",$H70*AR24*(1+$BD$8)^7,$H70*AR24*(1+$BD$8)^6)</f>
        <v>0</v>
      </c>
      <c r="AS70" s="74"/>
      <c r="AT70" s="321">
        <f>IF($BD$16="Yes",$H70*AT24*(1+$BD$8)^8,$H70*AT24*(1+$BD$8)^7)</f>
        <v>0</v>
      </c>
      <c r="AU70" s="74"/>
      <c r="AV70" s="321">
        <f>IF($BD$16="Yes",$H70*AV24*(1+$BD$8)^9,$H70*AV24*(1+$BD$8)^8)</f>
        <v>0</v>
      </c>
      <c r="AW70" s="74"/>
      <c r="AX70" s="321">
        <f>IF($BD$16="Yes",$H70*AX24*(1+$BD$8)^10,$H70*AX24*(1+$BD$8)^9)</f>
        <v>0</v>
      </c>
      <c r="AY70" s="74"/>
      <c r="AZ70" s="321">
        <f t="shared" ref="AZ70:AZ85" si="43">AF70+AH70+AJ70+AL70+AN70+AP70+AR70+AT70+AV70+AX70</f>
        <v>0</v>
      </c>
      <c r="BF70" s="55"/>
      <c r="BJ70" s="55"/>
      <c r="BN70" s="55"/>
      <c r="BR70" s="55"/>
      <c r="BV70" s="55"/>
      <c r="BZ70" s="55"/>
      <c r="CD70" s="55"/>
      <c r="CH70" s="55"/>
      <c r="CL70" s="55"/>
      <c r="CP70" s="55"/>
    </row>
    <row r="71" spans="1:94" x14ac:dyDescent="0.25">
      <c r="A71" s="32" t="str">
        <f>A26</f>
        <v>Regular Faculty</v>
      </c>
      <c r="B71" s="10"/>
      <c r="C71" s="73" t="str">
        <f>C25</f>
        <v xml:space="preserve">Co-PI: </v>
      </c>
      <c r="H71" s="346">
        <f>VLOOKUP(A71,Hidden_Lookups!$A$2:$B$13,2,FALSE)</f>
        <v>0.33100000000000002</v>
      </c>
      <c r="I71" s="9"/>
      <c r="J71" s="74">
        <f>IF($BD$16="Yes",$H71*J26*(1+$BD$8),$H71*J26)</f>
        <v>0</v>
      </c>
      <c r="K71" s="40"/>
      <c r="L71" s="74">
        <f>IF($BD$16="Yes",$H71*L26*(1+$BD$8)^2,$H71*L26*(1+$BD$8))</f>
        <v>0</v>
      </c>
      <c r="M71" s="40"/>
      <c r="N71" s="74">
        <f>IF($BD$16="Yes",$H71*N26*(1+$BD$8)^3,$H71*N26*(1+$BD$8)^2)</f>
        <v>0</v>
      </c>
      <c r="O71" s="40"/>
      <c r="P71" s="74">
        <f>IF($BD$16="Yes",$H71*P26*(1+$BD$8)^4,$H71*P26*(1+$BD$8)^3)</f>
        <v>0</v>
      </c>
      <c r="Q71" s="40"/>
      <c r="R71" s="74">
        <f>IF($BD$16="Yes",$H71*R26*(1+$BD$8)^5,$H71*R26*(1+$BD$8)^4)</f>
        <v>0</v>
      </c>
      <c r="S71" s="74"/>
      <c r="T71" s="74">
        <f>IF($BD$16="Yes",$H71*T26*(1+$BD$8)^6,$H71*T26*(1+$BD$8)^5)</f>
        <v>0</v>
      </c>
      <c r="V71" s="74">
        <f>IF($BD$16="Yes",$H71*V26*(1+$BD$8)^7,$H71*V26*(1+$BD$8)^6)</f>
        <v>0</v>
      </c>
      <c r="W71" s="74"/>
      <c r="X71" s="74">
        <f>IF($BD$16="Yes",$H71*X26*(1+$BD$8)^8,$H71*X26*(1+$BD$8)^7)</f>
        <v>0</v>
      </c>
      <c r="Y71" s="74"/>
      <c r="Z71" s="74">
        <f>IF($BD$16="Yes",$H71*Z26*(1+$BD$8)^9,$H71*Z26*(1+$BD$8)^8)</f>
        <v>0</v>
      </c>
      <c r="AA71" s="74"/>
      <c r="AB71" s="74">
        <f>IF($BD$16="Yes",$H71*AB26*(1+$BD$8)^10,$H71*AB26*(1+$BD$8)^9)</f>
        <v>0</v>
      </c>
      <c r="AC71" s="74"/>
      <c r="AD71" s="74">
        <f t="shared" si="42"/>
        <v>0</v>
      </c>
      <c r="AE71" s="74"/>
      <c r="AF71" s="321">
        <f>IF($BD$16="Yes",$H71*AF26*(1+$BD$8),$H71*AF26)</f>
        <v>0</v>
      </c>
      <c r="AG71" s="40"/>
      <c r="AH71" s="321">
        <f>IF($BD$16="Yes",$H71*AH26*(1+$BD$8)^2,$H71*AH26*(1+$BD$8))</f>
        <v>0</v>
      </c>
      <c r="AI71" s="40"/>
      <c r="AJ71" s="321">
        <f>IF($BD$16="Yes",$H71*AJ26*(1+$BD$8)^3,$H71*AJ26*(1+$BD$8)^2)</f>
        <v>0</v>
      </c>
      <c r="AK71" s="40"/>
      <c r="AL71" s="321">
        <f>IF($BD$16="Yes",$H71*AL26*(1+$BD$8)^4,$H71*AL26*(1+$BD$8)^3)</f>
        <v>0</v>
      </c>
      <c r="AM71" s="40"/>
      <c r="AN71" s="321">
        <f>IF($BD$16="Yes",$H71*AN26*(1+$BD$8)^5,$H71*AN26*(1+$BD$8)^4)</f>
        <v>0</v>
      </c>
      <c r="AO71" s="74"/>
      <c r="AP71" s="321">
        <f>IF($BD$16="Yes",$H71*AP26*(1+$BD$8)^6,$H71*AP26*(1+$BD$8)^5)</f>
        <v>0</v>
      </c>
      <c r="AR71" s="321">
        <f>IF($BD$16="Yes",$H71*AR26*(1+$BD$8)^7,$H71*AR26*(1+$BD$8)^6)</f>
        <v>0</v>
      </c>
      <c r="AS71" s="74"/>
      <c r="AT71" s="321">
        <f>IF($BD$16="Yes",$H71*AT26*(1+$BD$8)^8,$H71*AT26*(1+$BD$8)^7)</f>
        <v>0</v>
      </c>
      <c r="AU71" s="74"/>
      <c r="AV71" s="321">
        <f>IF($BD$16="Yes",$H71*AV26*(1+$BD$8)^9,$H71*AV26*(1+$BD$8)^8)</f>
        <v>0</v>
      </c>
      <c r="AW71" s="74"/>
      <c r="AX71" s="321">
        <f>IF($BD$16="Yes",$H71*AX26*(1+$BD$8)^10,$H71*AX26*(1+$BD$8)^9)</f>
        <v>0</v>
      </c>
      <c r="AY71" s="74"/>
      <c r="AZ71" s="321">
        <f t="shared" si="43"/>
        <v>0</v>
      </c>
      <c r="BF71" s="55"/>
      <c r="BJ71" s="55"/>
      <c r="BN71" s="55"/>
      <c r="BR71" s="55"/>
      <c r="BV71" s="55"/>
      <c r="BZ71" s="55"/>
      <c r="CD71" s="55"/>
      <c r="CH71" s="55"/>
      <c r="CL71" s="55"/>
      <c r="CP71" s="55"/>
    </row>
    <row r="72" spans="1:94" x14ac:dyDescent="0.25">
      <c r="A72" s="32" t="str">
        <f>A28</f>
        <v>Regular Faculty</v>
      </c>
      <c r="B72" s="10"/>
      <c r="C72" s="73" t="str">
        <f>C27</f>
        <v xml:space="preserve">Co-PI: </v>
      </c>
      <c r="H72" s="346">
        <f>VLOOKUP(A72,Hidden_Lookups!$A$2:$B$13,2,FALSE)</f>
        <v>0.33100000000000002</v>
      </c>
      <c r="I72" s="9"/>
      <c r="J72" s="74">
        <f>IF($BD$16="Yes",$H72*J28*(1+$BD$8),$H72*J28)</f>
        <v>0</v>
      </c>
      <c r="K72" s="40"/>
      <c r="L72" s="74">
        <f>IF($BD$16="Yes",$H72*L28*(1+$BD$8)^2,$H72*L28*(1+$BD$8))</f>
        <v>0</v>
      </c>
      <c r="M72" s="40"/>
      <c r="N72" s="74">
        <f>IF($BD$16="Yes",$H72*N28*(1+$BD$8)^3,$H72*N28*(1+$BD$8)^2)</f>
        <v>0</v>
      </c>
      <c r="O72" s="40"/>
      <c r="P72" s="74">
        <f>IF($BD$16="Yes",$H72*P28*(1+$BD$8)^4,$H72*P28*(1+$BD$8)^3)</f>
        <v>0</v>
      </c>
      <c r="Q72" s="40"/>
      <c r="R72" s="74">
        <f>IF($BD$16="Yes",$H72*R28*(1+$BD$8)^5,$H72*R28*(1+$BD$8)^4)</f>
        <v>0</v>
      </c>
      <c r="S72" s="74"/>
      <c r="T72" s="74">
        <f>IF($BD$16="Yes",$H72*T28*(1+$BD$8)^6,$H72*T28*(1+$BD$8)^5)</f>
        <v>0</v>
      </c>
      <c r="V72" s="74">
        <f>IF($BD$16="Yes",$H72*V28*(1+$BD$8)^7,$H72*V28*(1+$BD$8)^6)</f>
        <v>0</v>
      </c>
      <c r="W72" s="74"/>
      <c r="X72" s="74">
        <f>IF($BD$16="Yes",$H72*X28*(1+$BD$8)^8,$H72*X28*(1+$BD$8)^7)</f>
        <v>0</v>
      </c>
      <c r="Y72" s="74"/>
      <c r="Z72" s="74">
        <f>IF($BD$16="Yes",$H72*Z28*(1+$BD$8)^9,$H72*Z28*(1+$BD$8)^8)</f>
        <v>0</v>
      </c>
      <c r="AA72" s="74"/>
      <c r="AB72" s="74">
        <f>IF($BD$16="Yes",$H72*AB28*(1+$BD$8)^10,$H72*AB28*(1+$BD$8)^9)</f>
        <v>0</v>
      </c>
      <c r="AC72" s="74"/>
      <c r="AD72" s="74">
        <f t="shared" si="42"/>
        <v>0</v>
      </c>
      <c r="AE72" s="74"/>
      <c r="AF72" s="321">
        <f>IF($BD$16="Yes",$H72*AF28*(1+$BD$8),$H72*AF28)</f>
        <v>0</v>
      </c>
      <c r="AG72" s="40"/>
      <c r="AH72" s="321">
        <f>IF($BD$16="Yes",$H72*AH28*(1+$BD$8)^2,$H72*AH28*(1+$BD$8))</f>
        <v>0</v>
      </c>
      <c r="AI72" s="40"/>
      <c r="AJ72" s="321">
        <f>IF($BD$16="Yes",$H72*AJ28*(1+$BD$8)^3,$H72*AJ28*(1+$BD$8)^2)</f>
        <v>0</v>
      </c>
      <c r="AK72" s="40"/>
      <c r="AL72" s="321">
        <f>IF($BD$16="Yes",$H72*AL28*(1+$BD$8)^4,$H72*AL28*(1+$BD$8)^3)</f>
        <v>0</v>
      </c>
      <c r="AM72" s="40"/>
      <c r="AN72" s="321">
        <f>IF($BD$16="Yes",$H72*AN28*(1+$BD$8)^5,$H72*AN28*(1+$BD$8)^4)</f>
        <v>0</v>
      </c>
      <c r="AO72" s="74"/>
      <c r="AP72" s="321">
        <f>IF($BD$16="Yes",$H72*AP28*(1+$BD$8)^6,$H72*AP28*(1+$BD$8)^5)</f>
        <v>0</v>
      </c>
      <c r="AR72" s="321">
        <f>IF($BD$16="Yes",$H72*AR28*(1+$BD$8)^7,$H72*AR28*(1+$BD$8)^6)</f>
        <v>0</v>
      </c>
      <c r="AS72" s="74"/>
      <c r="AT72" s="321">
        <f>IF($BD$16="Yes",$H72*AT28*(1+$BD$8)^8,$H72*AT28*(1+$BD$8)^7)</f>
        <v>0</v>
      </c>
      <c r="AU72" s="74"/>
      <c r="AV72" s="321">
        <f>IF($BD$16="Yes",$H72*AV28*(1+$BD$8)^9,$H72*AV28*(1+$BD$8)^8)</f>
        <v>0</v>
      </c>
      <c r="AW72" s="74"/>
      <c r="AX72" s="321">
        <f>IF($BD$16="Yes",$H72*AX28*(1+$BD$8)^10,$H72*AX28*(1+$BD$8)^9)</f>
        <v>0</v>
      </c>
      <c r="AY72" s="74"/>
      <c r="AZ72" s="321">
        <f t="shared" si="43"/>
        <v>0</v>
      </c>
      <c r="BF72" s="55"/>
      <c r="BJ72" s="55"/>
      <c r="BN72" s="55"/>
      <c r="BR72" s="55"/>
      <c r="BV72" s="55"/>
      <c r="BZ72" s="55"/>
      <c r="CD72" s="55"/>
      <c r="CH72" s="55"/>
      <c r="CL72" s="55"/>
      <c r="CP72" s="55"/>
    </row>
    <row r="73" spans="1:94" x14ac:dyDescent="0.25">
      <c r="A73" s="32" t="str">
        <f>A30</f>
        <v>Regular Faculty</v>
      </c>
      <c r="B73" s="10"/>
      <c r="C73" s="73" t="str">
        <f>C29</f>
        <v xml:space="preserve">Co-PI: </v>
      </c>
      <c r="H73" s="346">
        <f>VLOOKUP(A73,Hidden_Lookups!$A$2:$B$13,2,FALSE)</f>
        <v>0.33100000000000002</v>
      </c>
      <c r="I73" s="9"/>
      <c r="J73" s="74">
        <f>IF($BD$16="Yes",$H73*J30*(1+$BD$8),$H73*J30)</f>
        <v>0</v>
      </c>
      <c r="K73" s="40"/>
      <c r="L73" s="74">
        <f>IF($BD$16="Yes",$H73*L30*(1+$BD$8)^2,$H73*L30*(1+$BD$8))</f>
        <v>0</v>
      </c>
      <c r="M73" s="40"/>
      <c r="N73" s="74">
        <f>IF($BD$16="Yes",$H73*N30*(1+$BD$8)^3,$H73*N30*(1+$BD$8)^2)</f>
        <v>0</v>
      </c>
      <c r="O73" s="40"/>
      <c r="P73" s="74">
        <f>IF($BD$16="Yes",$H73*P30*(1+$BD$8)^4,$H73*P30*(1+$BD$8)^3)</f>
        <v>0</v>
      </c>
      <c r="Q73" s="40"/>
      <c r="R73" s="74">
        <f>IF($BD$16="Yes",$H73*R30*(1+$BD$8)^5,$H73*R30*(1+$BD$8)^4)</f>
        <v>0</v>
      </c>
      <c r="S73" s="74"/>
      <c r="T73" s="74">
        <f>IF($BD$16="Yes",$H73*T30*(1+$BD$8)^6,$H73*T30*(1+$BD$8)^5)</f>
        <v>0</v>
      </c>
      <c r="V73" s="74">
        <f>IF($BD$16="Yes",$H73*V30*(1+$BD$8)^7,$H73*V30*(1+$BD$8)^6)</f>
        <v>0</v>
      </c>
      <c r="W73" s="74"/>
      <c r="X73" s="74">
        <f>IF($BD$16="Yes",$H73*X30*(1+$BD$8)^8,$H73*X30*(1+$BD$8)^7)</f>
        <v>0</v>
      </c>
      <c r="Y73" s="74"/>
      <c r="Z73" s="74">
        <f>IF($BD$16="Yes",$H73*Z30*(1+$BD$8)^9,$H73*Z30*(1+$BD$8)^8)</f>
        <v>0</v>
      </c>
      <c r="AA73" s="74"/>
      <c r="AB73" s="74">
        <f>IF($BD$16="Yes",$H73*AB30*(1+$BD$8)^10,$H73*AB30*(1+$BD$8)^9)</f>
        <v>0</v>
      </c>
      <c r="AC73" s="74"/>
      <c r="AD73" s="74">
        <f t="shared" si="42"/>
        <v>0</v>
      </c>
      <c r="AE73" s="74"/>
      <c r="AF73" s="321">
        <f>IF($BD$16="Yes",$H73*AF30*(1+$BD$8),$H73*AF30)</f>
        <v>0</v>
      </c>
      <c r="AG73" s="40"/>
      <c r="AH73" s="321">
        <f>IF($BD$16="Yes",$H73*AH30*(1+$BD$8)^2,$H73*AH30*(1+$BD$8))</f>
        <v>0</v>
      </c>
      <c r="AI73" s="40"/>
      <c r="AJ73" s="321">
        <f>IF($BD$16="Yes",$H73*AJ30*(1+$BD$8)^3,$H73*AJ30*(1+$BD$8)^2)</f>
        <v>0</v>
      </c>
      <c r="AK73" s="40"/>
      <c r="AL73" s="321">
        <f>IF($BD$16="Yes",$H73*AL30*(1+$BD$8)^4,$H73*AL30*(1+$BD$8)^3)</f>
        <v>0</v>
      </c>
      <c r="AM73" s="40"/>
      <c r="AN73" s="321">
        <f>IF($BD$16="Yes",$H73*AN30*(1+$BD$8)^5,$H73*AN30*(1+$BD$8)^4)</f>
        <v>0</v>
      </c>
      <c r="AO73" s="74"/>
      <c r="AP73" s="321">
        <f>IF($BD$16="Yes",$H73*AP30*(1+$BD$8)^6,$H73*AP30*(1+$BD$8)^5)</f>
        <v>0</v>
      </c>
      <c r="AR73" s="321">
        <f>IF($BD$16="Yes",$H73*AR30*(1+$BD$8)^7,$H73*AR30*(1+$BD$8)^6)</f>
        <v>0</v>
      </c>
      <c r="AS73" s="74"/>
      <c r="AT73" s="321">
        <f>IF($BD$16="Yes",$H73*AT30*(1+$BD$8)^8,$H73*AT30*(1+$BD$8)^7)</f>
        <v>0</v>
      </c>
      <c r="AU73" s="74"/>
      <c r="AV73" s="321">
        <f>IF($BD$16="Yes",$H73*AV30*(1+$BD$8)^9,$H73*AV30*(1+$BD$8)^8)</f>
        <v>0</v>
      </c>
      <c r="AW73" s="74"/>
      <c r="AX73" s="321">
        <f>IF($BD$16="Yes",$H73*AX30*(1+$BD$8)^10,$H73*AX30*(1+$BD$8)^9)</f>
        <v>0</v>
      </c>
      <c r="AY73" s="74"/>
      <c r="AZ73" s="321">
        <f t="shared" si="43"/>
        <v>0</v>
      </c>
      <c r="BF73" s="55"/>
      <c r="BJ73" s="55"/>
      <c r="BN73" s="55"/>
      <c r="BR73" s="55"/>
      <c r="BV73" s="55"/>
      <c r="BZ73" s="55"/>
      <c r="CD73" s="55"/>
      <c r="CH73" s="55"/>
      <c r="CL73" s="55"/>
      <c r="CP73" s="55"/>
    </row>
    <row r="74" spans="1:94" x14ac:dyDescent="0.25">
      <c r="A74" s="32" t="str">
        <f>A32</f>
        <v>Research Associate</v>
      </c>
      <c r="B74" s="10"/>
      <c r="C74" s="73" t="str">
        <f>C31</f>
        <v>Research Associate:</v>
      </c>
      <c r="H74" s="346">
        <f>VLOOKUP(A74,Hidden_Lookups!$A$2:$B$13,2,FALSE)</f>
        <v>0.40799999999999997</v>
      </c>
      <c r="I74" s="9"/>
      <c r="J74" s="74">
        <f>IF($BD$16="Yes",$H74*J32*(1+$BD$8),$H74*J32)</f>
        <v>0</v>
      </c>
      <c r="K74" s="40"/>
      <c r="L74" s="74">
        <f>IF($BD$16="Yes",$H74*L32*(1+$BD$8)^2,$H74*L32*(1+$BD$8))</f>
        <v>0</v>
      </c>
      <c r="M74" s="40"/>
      <c r="N74" s="74">
        <f>IF($BD$16="Yes",$H74*N32*(1+$BD$8)^3,$H74*N32*(1+$BD$8)^2)</f>
        <v>0</v>
      </c>
      <c r="O74" s="40"/>
      <c r="P74" s="74">
        <f>IF($BD$16="Yes",$H74*P32*(1+$BD$8)^4,$H74*P32*(1+$BD$8)^3)</f>
        <v>0</v>
      </c>
      <c r="Q74" s="40"/>
      <c r="R74" s="74">
        <f>IF($BD$16="Yes",$H74*R32*(1+$BD$8)^5,$H74*R32*(1+$BD$8)^4)</f>
        <v>0</v>
      </c>
      <c r="S74" s="74"/>
      <c r="T74" s="74">
        <f>IF($BD$16="Yes",$H74*T32*(1+$BD$8)^6,$H74*T32*(1+$BD$8)^5)</f>
        <v>0</v>
      </c>
      <c r="V74" s="74">
        <f>IF($BD$16="Yes",$H74*V32*(1+$BD$8)^7,$H74*V32*(1+$BD$8)^6)</f>
        <v>0</v>
      </c>
      <c r="W74" s="74"/>
      <c r="X74" s="74">
        <f>IF($BD$16="Yes",$H74*X32*(1+$BD$8)^8,$H74*X32*(1+$BD$8)^7)</f>
        <v>0</v>
      </c>
      <c r="Y74" s="74"/>
      <c r="Z74" s="74">
        <f>IF($BD$16="Yes",$H74*Z32*(1+$BD$8)^9,$H74*Z32*(1+$BD$8)^8)</f>
        <v>0</v>
      </c>
      <c r="AA74" s="74"/>
      <c r="AB74" s="74">
        <f>IF($BD$16="Yes",$H74*AB32*(1+$BD$8)^10,$H74*AB32*(1+$BD$8)^9)</f>
        <v>0</v>
      </c>
      <c r="AC74" s="74"/>
      <c r="AD74" s="74">
        <f t="shared" si="42"/>
        <v>0</v>
      </c>
      <c r="AE74" s="74"/>
      <c r="AF74" s="321">
        <f>IF($BD$16="Yes",$H74*AF32*(1+$BD$8),$H74*AF32)</f>
        <v>0</v>
      </c>
      <c r="AG74" s="40"/>
      <c r="AH74" s="321">
        <f>IF($BD$16="Yes",$H74*AH32*(1+$BD$8)^2,$H74*AH32*(1+$BD$8))</f>
        <v>0</v>
      </c>
      <c r="AI74" s="40"/>
      <c r="AJ74" s="321">
        <f>IF($BD$16="Yes",$H74*AJ32*(1+$BD$8)^3,$H74*AJ32*(1+$BD$8)^2)</f>
        <v>0</v>
      </c>
      <c r="AK74" s="40"/>
      <c r="AL74" s="321">
        <f>IF($BD$16="Yes",$H74*AL32*(1+$BD$8)^4,$H74*AL32*(1+$BD$8)^3)</f>
        <v>0</v>
      </c>
      <c r="AM74" s="40"/>
      <c r="AN74" s="321">
        <f>IF($BD$16="Yes",$H74*AN32*(1+$BD$8)^5,$H74*AN32*(1+$BD$8)^4)</f>
        <v>0</v>
      </c>
      <c r="AO74" s="74"/>
      <c r="AP74" s="321">
        <f>IF($BD$16="Yes",$H74*AP32*(1+$BD$8)^6,$H74*AP32*(1+$BD$8)^5)</f>
        <v>0</v>
      </c>
      <c r="AR74" s="321">
        <f>IF($BD$16="Yes",$H74*AR32*(1+$BD$8)^7,$H74*AR32*(1+$BD$8)^6)</f>
        <v>0</v>
      </c>
      <c r="AS74" s="74"/>
      <c r="AT74" s="321">
        <f>IF($BD$16="Yes",$H74*AT32*(1+$BD$8)^8,$H74*AT32*(1+$BD$8)^7)</f>
        <v>0</v>
      </c>
      <c r="AU74" s="74"/>
      <c r="AV74" s="321">
        <f>IF($BD$16="Yes",$H74*AV32*(1+$BD$8)^9,$H74*AV32*(1+$BD$8)^8)</f>
        <v>0</v>
      </c>
      <c r="AW74" s="74"/>
      <c r="AX74" s="321">
        <f>IF($BD$16="Yes",$H74*AX32*(1+$BD$8)^10,$H74*AX32*(1+$BD$8)^9)</f>
        <v>0</v>
      </c>
      <c r="AY74" s="74"/>
      <c r="AZ74" s="321">
        <f t="shared" si="43"/>
        <v>0</v>
      </c>
      <c r="BF74" s="55"/>
      <c r="BJ74" s="55"/>
      <c r="BN74" s="55"/>
      <c r="BR74" s="55"/>
      <c r="BV74" s="55"/>
      <c r="BZ74" s="55"/>
      <c r="CD74" s="55"/>
      <c r="CH74" s="55"/>
      <c r="CL74" s="55"/>
      <c r="CP74" s="55"/>
    </row>
    <row r="75" spans="1:94" x14ac:dyDescent="0.25">
      <c r="A75" s="32" t="str">
        <f>A34</f>
        <v>Research Associate</v>
      </c>
      <c r="B75" s="10"/>
      <c r="C75" s="73" t="str">
        <f>C33</f>
        <v>Research Associate:</v>
      </c>
      <c r="H75" s="346">
        <f>VLOOKUP(A75,Hidden_Lookups!$A$2:$B$13,2,FALSE)</f>
        <v>0.40799999999999997</v>
      </c>
      <c r="I75" s="9"/>
      <c r="J75" s="74">
        <f>IF($BD$16="Yes",$H75*J34*(1+$BD$8),$H75*J34)</f>
        <v>0</v>
      </c>
      <c r="K75" s="40"/>
      <c r="L75" s="74">
        <f>IF($BD$16="Yes",$H75*L34*(1+$BD$8)^2,$H75*L34*(1+$BD$8))</f>
        <v>0</v>
      </c>
      <c r="M75" s="40"/>
      <c r="N75" s="74">
        <f>IF($BD$16="Yes",$H75*N34*(1+$BD$8)^3,$H75*N34*(1+$BD$8)^2)</f>
        <v>0</v>
      </c>
      <c r="O75" s="40"/>
      <c r="P75" s="74">
        <f>IF($BD$16="Yes",$H75*P34*(1+$BD$8)^4,$H75*P34*(1+$BD$8)^3)</f>
        <v>0</v>
      </c>
      <c r="Q75" s="40"/>
      <c r="R75" s="74">
        <f>IF($BD$16="Yes",$H75*R34*(1+$BD$8)^5,$H75*R34*(1+$BD$8)^4)</f>
        <v>0</v>
      </c>
      <c r="S75" s="74"/>
      <c r="T75" s="74">
        <f>IF($BD$16="Yes",$H75*T34*(1+$BD$8)^6,$H75*T34*(1+$BD$8)^5)</f>
        <v>0</v>
      </c>
      <c r="V75" s="74">
        <f>IF($BD$16="Yes",$H75*V34*(1+$BD$8)^7,$H75*V34*(1+$BD$8)^6)</f>
        <v>0</v>
      </c>
      <c r="W75" s="74"/>
      <c r="X75" s="74">
        <f>IF($BD$16="Yes",$H75*X34*(1+$BD$8)^8,$H75*X34*(1+$BD$8)^7)</f>
        <v>0</v>
      </c>
      <c r="Y75" s="74"/>
      <c r="Z75" s="74">
        <f>IF($BD$16="Yes",$H75*Z34*(1+$BD$8)^9,$H75*Z34*(1+$BD$8)^8)</f>
        <v>0</v>
      </c>
      <c r="AA75" s="74"/>
      <c r="AB75" s="74">
        <f>IF($BD$16="Yes",$H75*AB34*(1+$BD$8)^10,$H75*AB34*(1+$BD$8)^9)</f>
        <v>0</v>
      </c>
      <c r="AC75" s="74"/>
      <c r="AD75" s="74">
        <f t="shared" si="42"/>
        <v>0</v>
      </c>
      <c r="AE75" s="74"/>
      <c r="AF75" s="321">
        <f>IF($BD$16="Yes",$H75*AF34*(1+$BD$8),$H75*AF34)</f>
        <v>0</v>
      </c>
      <c r="AG75" s="40"/>
      <c r="AH75" s="321">
        <f>IF($BD$16="Yes",$H75*AH34*(1+$BD$8)^2,$H75*AH34*(1+$BD$8))</f>
        <v>0</v>
      </c>
      <c r="AI75" s="40"/>
      <c r="AJ75" s="321">
        <f>IF($BD$16="Yes",$H75*AJ34*(1+$BD$8)^3,$H75*AJ34*(1+$BD$8)^2)</f>
        <v>0</v>
      </c>
      <c r="AK75" s="40"/>
      <c r="AL75" s="321">
        <f>IF($BD$16="Yes",$H75*AL34*(1+$BD$8)^4,$H75*AL34*(1+$BD$8)^3)</f>
        <v>0</v>
      </c>
      <c r="AM75" s="40"/>
      <c r="AN75" s="321">
        <f>IF($BD$16="Yes",$H75*AN34*(1+$BD$8)^5,$H75*AN34*(1+$BD$8)^4)</f>
        <v>0</v>
      </c>
      <c r="AO75" s="74"/>
      <c r="AP75" s="321">
        <f>IF($BD$16="Yes",$H75*AP34*(1+$BD$8)^6,$H75*AP34*(1+$BD$8)^5)</f>
        <v>0</v>
      </c>
      <c r="AR75" s="321">
        <f>IF($BD$16="Yes",$H75*AR34*(1+$BD$8)^7,$H75*AR34*(1+$BD$8)^6)</f>
        <v>0</v>
      </c>
      <c r="AS75" s="74"/>
      <c r="AT75" s="321">
        <f>IF($BD$16="Yes",$H75*AT34*(1+$BD$8)^8,$H75*AT34*(1+$BD$8)^7)</f>
        <v>0</v>
      </c>
      <c r="AU75" s="74"/>
      <c r="AV75" s="321">
        <f>IF($BD$16="Yes",$H75*AV34*(1+$BD$8)^9,$H75*AV34*(1+$BD$8)^8)</f>
        <v>0</v>
      </c>
      <c r="AW75" s="74"/>
      <c r="AX75" s="321">
        <f>IF($BD$16="Yes",$H75*AX34*(1+$BD$8)^10,$H75*AX34*(1+$BD$8)^9)</f>
        <v>0</v>
      </c>
      <c r="AY75" s="74"/>
      <c r="AZ75" s="321">
        <f t="shared" si="43"/>
        <v>0</v>
      </c>
      <c r="BF75" s="55"/>
      <c r="BJ75" s="55"/>
      <c r="BN75" s="55"/>
      <c r="BR75" s="55"/>
      <c r="BV75" s="55"/>
      <c r="BZ75" s="55"/>
      <c r="CD75" s="55"/>
      <c r="CH75" s="55"/>
      <c r="CL75" s="55"/>
      <c r="CP75" s="55"/>
    </row>
    <row r="76" spans="1:94" x14ac:dyDescent="0.25">
      <c r="A76" s="32" t="str">
        <f>A36</f>
        <v>Research Associate</v>
      </c>
      <c r="B76" s="10"/>
      <c r="C76" s="73" t="str">
        <f>C35</f>
        <v>Research Associate:</v>
      </c>
      <c r="H76" s="346">
        <f>VLOOKUP(A76,Hidden_Lookups!$A$2:$B$13,2,FALSE)</f>
        <v>0.40799999999999997</v>
      </c>
      <c r="I76" s="9"/>
      <c r="J76" s="74">
        <f>IF($BD$16="Yes",$H76*J36*(1+$BD$8),$H76*J36)</f>
        <v>0</v>
      </c>
      <c r="K76" s="40"/>
      <c r="L76" s="74">
        <f>IF($BD$16="Yes",$H76*L36*(1+$BD$8)^2,$H76*L36*(1+$BD$8))</f>
        <v>0</v>
      </c>
      <c r="M76" s="40"/>
      <c r="N76" s="74">
        <f>IF($BD$16="Yes",$H76*N36*(1+$BD$8)^3,$H76*N36*(1+$BD$8)^2)</f>
        <v>0</v>
      </c>
      <c r="O76" s="40"/>
      <c r="P76" s="74">
        <f>IF($BD$16="Yes",$H76*P36*(1+$BD$8)^4,$H76*P36*(1+$BD$8)^3)</f>
        <v>0</v>
      </c>
      <c r="Q76" s="40"/>
      <c r="R76" s="74">
        <f>IF($BD$16="Yes",$H76*R36*(1+$BD$8)^5,$H76*R36*(1+$BD$8)^4)</f>
        <v>0</v>
      </c>
      <c r="S76" s="74"/>
      <c r="T76" s="74">
        <f>IF($BD$16="Yes",$H76*T36*(1+$BD$8)^6,$H76*T36*(1+$BD$8)^5)</f>
        <v>0</v>
      </c>
      <c r="V76" s="74">
        <f>IF($BD$16="Yes",$H76*V36*(1+$BD$8)^7,$H76*V36*(1+$BD$8)^6)</f>
        <v>0</v>
      </c>
      <c r="W76" s="74"/>
      <c r="X76" s="74">
        <f>IF($BD$16="Yes",$H76*X36*(1+$BD$8)^8,$H76*X36*(1+$BD$8)^7)</f>
        <v>0</v>
      </c>
      <c r="Y76" s="74"/>
      <c r="Z76" s="74">
        <f>IF($BD$16="Yes",$H76*Z36*(1+$BD$8)^9,$H76*Z36*(1+$BD$8)^8)</f>
        <v>0</v>
      </c>
      <c r="AA76" s="74"/>
      <c r="AB76" s="74">
        <f>IF($BD$16="Yes",$H76*AB36*(1+$BD$8)^10,$H76*AB36*(1+$BD$8)^9)</f>
        <v>0</v>
      </c>
      <c r="AC76" s="74"/>
      <c r="AD76" s="74">
        <f t="shared" si="42"/>
        <v>0</v>
      </c>
      <c r="AE76" s="74"/>
      <c r="AF76" s="321">
        <f>IF($BD$16="Yes",$H76*AF36*(1+$BD$8),$H76*AF36)</f>
        <v>0</v>
      </c>
      <c r="AG76" s="40"/>
      <c r="AH76" s="321">
        <f>IF($BD$16="Yes",$H76*AH36*(1+$BD$8)^2,$H76*AH36*(1+$BD$8))</f>
        <v>0</v>
      </c>
      <c r="AI76" s="40"/>
      <c r="AJ76" s="321">
        <f>IF($BD$16="Yes",$H76*AJ36*(1+$BD$8)^3,$H76*AJ36*(1+$BD$8)^2)</f>
        <v>0</v>
      </c>
      <c r="AK76" s="40"/>
      <c r="AL76" s="321">
        <f>IF($BD$16="Yes",$H76*AL36*(1+$BD$8)^4,$H76*AL36*(1+$BD$8)^3)</f>
        <v>0</v>
      </c>
      <c r="AM76" s="40"/>
      <c r="AN76" s="321">
        <f>IF($BD$16="Yes",$H76*AN36*(1+$BD$8)^5,$H76*AN36*(1+$BD$8)^4)</f>
        <v>0</v>
      </c>
      <c r="AO76" s="74"/>
      <c r="AP76" s="321">
        <f>IF($BD$16="Yes",$H76*AP36*(1+$BD$8)^6,$H76*AP36*(1+$BD$8)^5)</f>
        <v>0</v>
      </c>
      <c r="AR76" s="321">
        <f>IF($BD$16="Yes",$H76*AR36*(1+$BD$8)^7,$H76*AR36*(1+$BD$8)^6)</f>
        <v>0</v>
      </c>
      <c r="AS76" s="74"/>
      <c r="AT76" s="321">
        <f>IF($BD$16="Yes",$H76*AT36*(1+$BD$8)^8,$H76*AT36*(1+$BD$8)^7)</f>
        <v>0</v>
      </c>
      <c r="AU76" s="74"/>
      <c r="AV76" s="321">
        <f>IF($BD$16="Yes",$H76*AV36*(1+$BD$8)^9,$H76*AV36*(1+$BD$8)^8)</f>
        <v>0</v>
      </c>
      <c r="AW76" s="74"/>
      <c r="AX76" s="321">
        <f>IF($BD$16="Yes",$H76*AX36*(1+$BD$8)^10,$H76*AX36*(1+$BD$8)^9)</f>
        <v>0</v>
      </c>
      <c r="AY76" s="74"/>
      <c r="AZ76" s="321">
        <f t="shared" si="43"/>
        <v>0</v>
      </c>
      <c r="BF76" s="55"/>
      <c r="BJ76" s="55"/>
      <c r="BN76" s="55"/>
      <c r="BR76" s="55"/>
      <c r="BV76" s="55"/>
      <c r="BZ76" s="55"/>
      <c r="CD76" s="55"/>
      <c r="CH76" s="55"/>
      <c r="CL76" s="55"/>
      <c r="CP76" s="55"/>
    </row>
    <row r="77" spans="1:94" x14ac:dyDescent="0.25">
      <c r="A77" s="32" t="str">
        <f>A38</f>
        <v>Research Associate</v>
      </c>
      <c r="B77" s="10"/>
      <c r="C77" s="73" t="str">
        <f>C37</f>
        <v xml:space="preserve">Research Associate: </v>
      </c>
      <c r="H77" s="346">
        <f>VLOOKUP(A77,Hidden_Lookups!$A$2:$B$13,2,FALSE)</f>
        <v>0.40799999999999997</v>
      </c>
      <c r="I77" s="9"/>
      <c r="J77" s="74">
        <f>IF($BD$16="Yes",$H77*J38*(1+$BD$8),$H77*J38)</f>
        <v>0</v>
      </c>
      <c r="K77" s="40"/>
      <c r="L77" s="74">
        <f>IF($BD$16="Yes",$H77*L38*(1+$BD$8)^2,$H77*L38*(1+$BD$8))</f>
        <v>0</v>
      </c>
      <c r="M77" s="40"/>
      <c r="N77" s="74">
        <f>IF($BD$16="Yes",$H77*N38*(1+$BD$8)^3,$H77*N38*(1+$BD$8)^2)</f>
        <v>0</v>
      </c>
      <c r="O77" s="40"/>
      <c r="P77" s="74">
        <f>IF($BD$16="Yes",$H77*P38*(1+$BD$8)^4,$H77*P38*(1+$BD$8)^3)</f>
        <v>0</v>
      </c>
      <c r="Q77" s="40"/>
      <c r="R77" s="74">
        <f>IF($BD$16="Yes",$H77*R38*(1+$BD$8)^5,$H77*R38*(1+$BD$8)^4)</f>
        <v>0</v>
      </c>
      <c r="S77" s="74"/>
      <c r="T77" s="74">
        <f>IF($BD$16="Yes",$H77*T38*(1+$BD$8)^6,$H77*T38*(1+$BD$8)^5)</f>
        <v>0</v>
      </c>
      <c r="V77" s="74">
        <f>IF($BD$16="Yes",$H77*V38*(1+$BD$8)^7,$H77*V38*(1+$BD$8)^6)</f>
        <v>0</v>
      </c>
      <c r="W77" s="74"/>
      <c r="X77" s="74">
        <f>IF($BD$16="Yes",$H77*X38*(1+$BD$8)^8,$H77*X38*(1+$BD$8)^7)</f>
        <v>0</v>
      </c>
      <c r="Y77" s="74"/>
      <c r="Z77" s="74">
        <f>IF($BD$16="Yes",$H77*Z38*(1+$BD$8)^9,$H77*Z38*(1+$BD$8)^8)</f>
        <v>0</v>
      </c>
      <c r="AA77" s="74"/>
      <c r="AB77" s="74">
        <f>IF($BD$16="Yes",$H77*AB38*(1+$BD$8)^10,$H77*AB38*(1+$BD$8)^9)</f>
        <v>0</v>
      </c>
      <c r="AC77" s="74"/>
      <c r="AD77" s="74">
        <f t="shared" si="42"/>
        <v>0</v>
      </c>
      <c r="AE77" s="74"/>
      <c r="AF77" s="321">
        <f>IF($BD$16="Yes",$H77*AF38*(1+$BD$8),$H77*AF38)</f>
        <v>0</v>
      </c>
      <c r="AG77" s="40"/>
      <c r="AH77" s="321">
        <f>IF($BD$16="Yes",$H77*AH38*(1+$BD$8)^2,$H77*AH38*(1+$BD$8))</f>
        <v>0</v>
      </c>
      <c r="AI77" s="40"/>
      <c r="AJ77" s="321">
        <f>IF($BD$16="Yes",$H77*AJ38*(1+$BD$8)^3,$H77*AJ38*(1+$BD$8)^2)</f>
        <v>0</v>
      </c>
      <c r="AK77" s="40"/>
      <c r="AL77" s="321">
        <f>IF($BD$16="Yes",$H77*AL38*(1+$BD$8)^4,$H77*AL38*(1+$BD$8)^3)</f>
        <v>0</v>
      </c>
      <c r="AM77" s="40"/>
      <c r="AN77" s="321">
        <f>IF($BD$16="Yes",$H77*AN38*(1+$BD$8)^5,$H77*AN38*(1+$BD$8)^4)</f>
        <v>0</v>
      </c>
      <c r="AO77" s="74"/>
      <c r="AP77" s="321">
        <f>IF($BD$16="Yes",$H77*AP38*(1+$BD$8)^6,$H77*AP38*(1+$BD$8)^5)</f>
        <v>0</v>
      </c>
      <c r="AR77" s="321">
        <f>IF($BD$16="Yes",$H77*AR38*(1+$BD$8)^7,$H77*AR38*(1+$BD$8)^6)</f>
        <v>0</v>
      </c>
      <c r="AS77" s="74"/>
      <c r="AT77" s="321">
        <f>IF($BD$16="Yes",$H77*AT38*(1+$BD$8)^8,$H77*AT38*(1+$BD$8)^7)</f>
        <v>0</v>
      </c>
      <c r="AU77" s="74"/>
      <c r="AV77" s="321">
        <f>IF($BD$16="Yes",$H77*AV38*(1+$BD$8)^9,$H77*AV38*(1+$BD$8)^8)</f>
        <v>0</v>
      </c>
      <c r="AW77" s="74"/>
      <c r="AX77" s="321">
        <f>IF($BD$16="Yes",$H77*AX38*(1+$BD$8)^10,$H77*AX38*(1+$BD$8)^9)</f>
        <v>0</v>
      </c>
      <c r="AY77" s="74"/>
      <c r="AZ77" s="321">
        <f t="shared" si="43"/>
        <v>0</v>
      </c>
      <c r="BF77" s="55"/>
      <c r="BJ77" s="55"/>
      <c r="BN77" s="55"/>
      <c r="BR77" s="55"/>
      <c r="BV77" s="55"/>
      <c r="BZ77" s="55"/>
      <c r="CD77" s="55"/>
      <c r="CH77" s="55"/>
      <c r="CL77" s="55"/>
      <c r="CP77" s="55"/>
    </row>
    <row r="78" spans="1:94" x14ac:dyDescent="0.25">
      <c r="A78" s="32" t="str">
        <f>A40</f>
        <v>Research Associate</v>
      </c>
      <c r="B78" s="10"/>
      <c r="C78" s="73" t="str">
        <f>C39</f>
        <v xml:space="preserve">Research Associate: </v>
      </c>
      <c r="H78" s="346">
        <f>VLOOKUP(A78,Hidden_Lookups!$A$2:$B$13,2,FALSE)</f>
        <v>0.40799999999999997</v>
      </c>
      <c r="I78" s="9"/>
      <c r="J78" s="74">
        <f>IF($BD$16="Yes",$H78*J40*(1+$BD$8),$H78*J40)</f>
        <v>0</v>
      </c>
      <c r="K78" s="40"/>
      <c r="L78" s="74">
        <f>IF($BD$16="Yes",$H78*L40*(1+$BD$8)^2,$H78*L40*(1+$BD$8))</f>
        <v>0</v>
      </c>
      <c r="M78" s="40"/>
      <c r="N78" s="74">
        <f>IF($BD$16="Yes",$H78*N40*(1+$BD$8)^3,$H78*N40*(1+$BD$8)^2)</f>
        <v>0</v>
      </c>
      <c r="O78" s="40"/>
      <c r="P78" s="74">
        <f>IF($BD$16="Yes",$H78*P40*(1+$BD$8)^4,$H78*P40*(1+$BD$8)^3)</f>
        <v>0</v>
      </c>
      <c r="Q78" s="40"/>
      <c r="R78" s="74">
        <f>IF($BD$16="Yes",$H78*R40*(1+$BD$8)^5,$H78*R40*(1+$BD$8)^4)</f>
        <v>0</v>
      </c>
      <c r="S78" s="74"/>
      <c r="T78" s="74">
        <f>IF($BD$16="Yes",$H78*T40*(1+$BD$8)^6,$H78*T40*(1+$BD$8)^5)</f>
        <v>0</v>
      </c>
      <c r="V78" s="74">
        <f>IF($BD$16="Yes",$H78*V40*(1+$BD$8)^7,$H78*V40*(1+$BD$8)^6)</f>
        <v>0</v>
      </c>
      <c r="W78" s="74"/>
      <c r="X78" s="74">
        <f>IF($BD$16="Yes",$H78*X40*(1+$BD$8)^8,$H78*X40*(1+$BD$8)^7)</f>
        <v>0</v>
      </c>
      <c r="Y78" s="74"/>
      <c r="Z78" s="74">
        <f>IF($BD$16="Yes",$H78*Z40*(1+$BD$8)^9,$H78*Z40*(1+$BD$8)^8)</f>
        <v>0</v>
      </c>
      <c r="AA78" s="74"/>
      <c r="AB78" s="74">
        <f>IF($BD$16="Yes",$H78*AB40*(1+$BD$8)^10,$H78*AB40*(1+$BD$8)^9)</f>
        <v>0</v>
      </c>
      <c r="AC78" s="74"/>
      <c r="AD78" s="74">
        <f t="shared" si="42"/>
        <v>0</v>
      </c>
      <c r="AE78" s="74"/>
      <c r="AF78" s="321">
        <f>IF($BD$16="Yes",$H78*AF40*(1+$BD$8),$H78*AF40)</f>
        <v>0</v>
      </c>
      <c r="AG78" s="40"/>
      <c r="AH78" s="321">
        <f>IF($BD$16="Yes",$H78*AH40*(1+$BD$8)^2,$H78*AH40*(1+$BD$8))</f>
        <v>0</v>
      </c>
      <c r="AI78" s="40"/>
      <c r="AJ78" s="321">
        <f>IF($BD$16="Yes",$H78*AJ40*(1+$BD$8)^3,$H78*AJ40*(1+$BD$8)^2)</f>
        <v>0</v>
      </c>
      <c r="AK78" s="40"/>
      <c r="AL78" s="321">
        <f>IF($BD$16="Yes",$H78*AL40*(1+$BD$8)^4,$H78*AL40*(1+$BD$8)^3)</f>
        <v>0</v>
      </c>
      <c r="AM78" s="40"/>
      <c r="AN78" s="321">
        <f>IF($BD$16="Yes",$H78*AN40*(1+$BD$8)^5,$H78*AN40*(1+$BD$8)^4)</f>
        <v>0</v>
      </c>
      <c r="AO78" s="74"/>
      <c r="AP78" s="321">
        <f>IF($BD$16="Yes",$H78*AP40*(1+$BD$8)^6,$H78*AP40*(1+$BD$8)^5)</f>
        <v>0</v>
      </c>
      <c r="AR78" s="321">
        <f>IF($BD$16="Yes",$H78*AR40*(1+$BD$8)^7,$H78*AR40*(1+$BD$8)^6)</f>
        <v>0</v>
      </c>
      <c r="AS78" s="74"/>
      <c r="AT78" s="321">
        <f>IF($BD$16="Yes",$H78*AT40*(1+$BD$8)^8,$H78*AT40*(1+$BD$8)^7)</f>
        <v>0</v>
      </c>
      <c r="AU78" s="74"/>
      <c r="AV78" s="321">
        <f>IF($BD$16="Yes",$H78*AV40*(1+$BD$8)^9,$H78*AV40*(1+$BD$8)^8)</f>
        <v>0</v>
      </c>
      <c r="AW78" s="74"/>
      <c r="AX78" s="321">
        <f>IF($BD$16="Yes",$H78*AX40*(1+$BD$8)^10,$H78*AX40*(1+$BD$8)^9)</f>
        <v>0</v>
      </c>
      <c r="AY78" s="74"/>
      <c r="AZ78" s="321">
        <f t="shared" si="43"/>
        <v>0</v>
      </c>
      <c r="BF78" s="55"/>
      <c r="BJ78" s="55"/>
      <c r="BN78" s="55"/>
      <c r="BR78" s="55"/>
      <c r="BV78" s="55"/>
      <c r="BZ78" s="55"/>
      <c r="CD78" s="55"/>
      <c r="CH78" s="55"/>
      <c r="CL78" s="55"/>
      <c r="CP78" s="55"/>
    </row>
    <row r="79" spans="1:94" x14ac:dyDescent="0.25">
      <c r="A79" s="32" t="str">
        <f>A42</f>
        <v>Research Associate</v>
      </c>
      <c r="C79" s="73" t="str">
        <f>C41</f>
        <v xml:space="preserve">Research Associate: </v>
      </c>
      <c r="H79" s="346">
        <f>VLOOKUP(A79,Hidden_Lookups!$A$2:$B$13,2,FALSE)</f>
        <v>0.40799999999999997</v>
      </c>
      <c r="I79" s="9"/>
      <c r="J79" s="74">
        <f>IF($BD$16="Yes",$H79*J42*(1+$BD$8),$H79*J42)</f>
        <v>0</v>
      </c>
      <c r="K79" s="40"/>
      <c r="L79" s="74">
        <f>IF($BD$16="Yes",$H79*L42*(1+$BD$8)^2,$H79*L42*(1+$BD$8))</f>
        <v>0</v>
      </c>
      <c r="M79" s="40"/>
      <c r="N79" s="74">
        <f>IF($BD$16="Yes",$H79*N42*(1+$BD$8)^3,$H79*N42*(1+$BD$8)^2)</f>
        <v>0</v>
      </c>
      <c r="O79" s="40"/>
      <c r="P79" s="74">
        <f>IF($BD$16="Yes",$H79*P42*(1+$BD$8)^4,$H79*P42*(1+$BD$8)^3)</f>
        <v>0</v>
      </c>
      <c r="Q79" s="40"/>
      <c r="R79" s="74">
        <f>IF($BD$16="Yes",$H79*R42*(1+$BD$8)^5,$H79*R42*(1+$BD$8)^4)</f>
        <v>0</v>
      </c>
      <c r="S79" s="74"/>
      <c r="T79" s="74">
        <f>IF($BD$16="Yes",$H79*T42*(1+$BD$8)^6,$H79*T42*(1+$BD$8)^5)</f>
        <v>0</v>
      </c>
      <c r="V79" s="74">
        <f>IF($BD$16="Yes",$H79*V42*(1+$BD$8)^7,$H79*V42*(1+$BD$8)^6)</f>
        <v>0</v>
      </c>
      <c r="W79" s="74"/>
      <c r="X79" s="74">
        <f>IF($BD$16="Yes",$H79*X42*(1+$BD$8)^8,$H79*X42*(1+$BD$8)^7)</f>
        <v>0</v>
      </c>
      <c r="Y79" s="74"/>
      <c r="Z79" s="74">
        <f>IF($BD$16="Yes",$H79*Z42*(1+$BD$8)^9,$H79*Z42*(1+$BD$8)^8)</f>
        <v>0</v>
      </c>
      <c r="AA79" s="74"/>
      <c r="AB79" s="74">
        <f>IF($BD$16="Yes",$H79*AB42*(1+$BD$8)^10,$H79*AB42*(1+$BD$8)^9)</f>
        <v>0</v>
      </c>
      <c r="AC79" s="74"/>
      <c r="AD79" s="74">
        <f t="shared" si="42"/>
        <v>0</v>
      </c>
      <c r="AE79" s="74"/>
      <c r="AF79" s="321">
        <f>IF($BD$16="Yes",$H79*AF42*(1+$BD$8),$H79*AF42)</f>
        <v>0</v>
      </c>
      <c r="AG79" s="40"/>
      <c r="AH79" s="321">
        <f>IF($BD$16="Yes",$H79*AH42*(1+$BD$8)^2,$H79*AH42*(1+$BD$8))</f>
        <v>0</v>
      </c>
      <c r="AI79" s="40"/>
      <c r="AJ79" s="321">
        <f>IF($BD$16="Yes",$H79*AJ42*(1+$BD$8)^3,$H79*AJ42*(1+$BD$8)^2)</f>
        <v>0</v>
      </c>
      <c r="AK79" s="40"/>
      <c r="AL79" s="321">
        <f>IF($BD$16="Yes",$H79*AL42*(1+$BD$8)^4,$H79*AL42*(1+$BD$8)^3)</f>
        <v>0</v>
      </c>
      <c r="AM79" s="40"/>
      <c r="AN79" s="321">
        <f>IF($BD$16="Yes",$H79*AN42*(1+$BD$8)^5,$H79*AN42*(1+$BD$8)^4)</f>
        <v>0</v>
      </c>
      <c r="AO79" s="74"/>
      <c r="AP79" s="321">
        <f>IF($BD$16="Yes",$H79*AP42*(1+$BD$8)^6,$H79*AP42*(1+$BD$8)^5)</f>
        <v>0</v>
      </c>
      <c r="AR79" s="321">
        <f>IF($BD$16="Yes",$H79*AR42*(1+$BD$8)^7,$H79*AR42*(1+$BD$8)^6)</f>
        <v>0</v>
      </c>
      <c r="AS79" s="74"/>
      <c r="AT79" s="321">
        <f>IF($BD$16="Yes",$H79*AT42*(1+$BD$8)^8,$H79*AT42*(1+$BD$8)^7)</f>
        <v>0</v>
      </c>
      <c r="AU79" s="74"/>
      <c r="AV79" s="321">
        <f>IF($BD$16="Yes",$H79*AV42*(1+$BD$8)^9,$H79*AV42*(1+$BD$8)^8)</f>
        <v>0</v>
      </c>
      <c r="AW79" s="74"/>
      <c r="AX79" s="321">
        <f>IF($BD$16="Yes",$H79*AX42*(1+$BD$8)^10,$H79*AX42*(1+$BD$8)^9)</f>
        <v>0</v>
      </c>
      <c r="AY79" s="74"/>
      <c r="AZ79" s="321">
        <f t="shared" si="43"/>
        <v>0</v>
      </c>
      <c r="BF79" s="55"/>
      <c r="BJ79" s="55"/>
      <c r="BN79" s="55"/>
      <c r="BR79" s="55"/>
      <c r="BV79" s="55"/>
      <c r="BZ79" s="55"/>
      <c r="CD79" s="55"/>
      <c r="CH79" s="55"/>
      <c r="CL79" s="55"/>
      <c r="CP79" s="55"/>
    </row>
    <row r="80" spans="1:94" x14ac:dyDescent="0.25">
      <c r="A80" s="32" t="str">
        <f>A44</f>
        <v>OEP F/T or Classified Perm</v>
      </c>
      <c r="B80" s="10"/>
      <c r="C80" s="73" t="str">
        <f>C43</f>
        <v>Administrative Assistant:</v>
      </c>
      <c r="H80" s="346">
        <f>VLOOKUP(A80,Hidden_Lookups!$A$2:$B$13,2,FALSE)</f>
        <v>0.40799999999999997</v>
      </c>
      <c r="I80" s="9"/>
      <c r="J80" s="74">
        <f>IF($BD$16="Yes",$H80*J44*(1+$BD$8),$H80*J44)</f>
        <v>0</v>
      </c>
      <c r="K80" s="40"/>
      <c r="L80" s="74">
        <f>IF($BD$16="Yes",$H80*L44*(1+$BD$8)^2,$H80*L44*(1+$BD$8))</f>
        <v>0</v>
      </c>
      <c r="M80" s="40"/>
      <c r="N80" s="74">
        <f>IF($BD$16="Yes",$H80*N44*(1+$BD$8)^3,$H80*N44*(1+$BD$8)^2)</f>
        <v>0</v>
      </c>
      <c r="O80" s="40"/>
      <c r="P80" s="74">
        <f>IF($BD$16="Yes",$H80*P44*(1+$BD$8)^4,$H80*P44*(1+$BD$8)^3)</f>
        <v>0</v>
      </c>
      <c r="Q80" s="40"/>
      <c r="R80" s="74">
        <f>IF($BD$16="Yes",$H80*R44*(1+$BD$8)^5,$H80*R44*(1+$BD$8)^4)</f>
        <v>0</v>
      </c>
      <c r="S80" s="74"/>
      <c r="T80" s="74">
        <f>IF($BD$16="Yes",$H80*T44*(1+$BD$8)^6,$H80*T44*(1+$BD$8)^5)</f>
        <v>0</v>
      </c>
      <c r="V80" s="74">
        <f>IF($BD$16="Yes",$H80*V44*(1+$BD$8)^7,$H80*V44*(1+$BD$8)^6)</f>
        <v>0</v>
      </c>
      <c r="W80" s="74"/>
      <c r="X80" s="74">
        <f>IF($BD$16="Yes",$H80*X44*(1+$BD$8)^8,$H80*X44*(1+$BD$8)^7)</f>
        <v>0</v>
      </c>
      <c r="Y80" s="74"/>
      <c r="Z80" s="74">
        <f>IF($BD$16="Yes",$H80*Z44*(1+$BD$8)^9,$H80*Z44*(1+$BD$8)^8)</f>
        <v>0</v>
      </c>
      <c r="AA80" s="74"/>
      <c r="AB80" s="74">
        <f>IF($BD$16="Yes",$H80*AB44*(1+$BD$8)^10,$H80*AB44*(1+$BD$8)^9)</f>
        <v>0</v>
      </c>
      <c r="AC80" s="74"/>
      <c r="AD80" s="74">
        <f t="shared" si="42"/>
        <v>0</v>
      </c>
      <c r="AE80" s="74"/>
      <c r="AF80" s="321">
        <f>IF($BD$16="Yes",$H80*AF44*(1+$BD$8),$H80*AF44)</f>
        <v>0</v>
      </c>
      <c r="AG80" s="40"/>
      <c r="AH80" s="321">
        <f>IF($BD$16="Yes",$H80*AH44*(1+$BD$8)^2,$H80*AH44*(1+$BD$8))</f>
        <v>0</v>
      </c>
      <c r="AI80" s="40"/>
      <c r="AJ80" s="321">
        <f>IF($BD$16="Yes",$H80*AJ44*(1+$BD$8)^3,$H80*AJ44*(1+$BD$8)^2)</f>
        <v>0</v>
      </c>
      <c r="AK80" s="40"/>
      <c r="AL80" s="321">
        <f>IF($BD$16="Yes",$H80*AL44*(1+$BD$8)^4,$H80*AL44*(1+$BD$8)^3)</f>
        <v>0</v>
      </c>
      <c r="AM80" s="40"/>
      <c r="AN80" s="321">
        <f>IF($BD$16="Yes",$H80*AN44*(1+$BD$8)^5,$H80*AN44*(1+$BD$8)^4)</f>
        <v>0</v>
      </c>
      <c r="AO80" s="74"/>
      <c r="AP80" s="321">
        <f>IF($BD$16="Yes",$H80*AP44*(1+$BD$8)^6,$H80*AP44*(1+$BD$8)^5)</f>
        <v>0</v>
      </c>
      <c r="AR80" s="321">
        <f>IF($BD$16="Yes",$H80*AR44*(1+$BD$8)^7,$H80*AR44*(1+$BD$8)^6)</f>
        <v>0</v>
      </c>
      <c r="AS80" s="74"/>
      <c r="AT80" s="321">
        <f>IF($BD$16="Yes",$H80*AT44*(1+$BD$8)^8,$H80*AT44*(1+$BD$8)^7)</f>
        <v>0</v>
      </c>
      <c r="AU80" s="74"/>
      <c r="AV80" s="321">
        <f>IF($BD$16="Yes",$H80*AV44*(1+$BD$8)^9,$H80*AV44*(1+$BD$8)^8)</f>
        <v>0</v>
      </c>
      <c r="AW80" s="74"/>
      <c r="AX80" s="321">
        <f>IF($BD$16="Yes",$H80*AX44*(1+$BD$8)^10,$H80*AX44*(1+$BD$8)^9)</f>
        <v>0</v>
      </c>
      <c r="AY80" s="74"/>
      <c r="AZ80" s="321">
        <f>AF80+AH80+AJ80+AL80+AN80+AP80+AR80+AT80+AV80+AX80</f>
        <v>0</v>
      </c>
      <c r="BF80" s="55"/>
      <c r="BJ80" s="55"/>
      <c r="BN80" s="55"/>
      <c r="BR80" s="55"/>
      <c r="BV80" s="55"/>
      <c r="BZ80" s="55"/>
      <c r="CD80" s="55"/>
      <c r="CH80" s="55"/>
      <c r="CL80" s="55"/>
      <c r="CP80" s="55"/>
    </row>
    <row r="81" spans="1:94" x14ac:dyDescent="0.25">
      <c r="A81" s="32" t="str">
        <f>A46</f>
        <v>OEP F/T or Classified Perm</v>
      </c>
      <c r="B81" s="10"/>
      <c r="C81" s="73" t="str">
        <f>C45</f>
        <v>Administrative Assistant:</v>
      </c>
      <c r="H81" s="346">
        <f>VLOOKUP(A81,Hidden_Lookups!$A$2:$B$13,2,FALSE)</f>
        <v>0.40799999999999997</v>
      </c>
      <c r="I81" s="9"/>
      <c r="J81" s="74">
        <f>IF($BD$16="Yes",$H81*J46*(1+$BD$8),$H81*J46)</f>
        <v>0</v>
      </c>
      <c r="K81" s="40"/>
      <c r="L81" s="74">
        <f>IF($BD$16="Yes",$H81*L46*(1+$BD$8)^2,$H81*L46*(1+$BD$8))</f>
        <v>0</v>
      </c>
      <c r="M81" s="40"/>
      <c r="N81" s="74">
        <f>IF($BD$16="Yes",$H81*N46*(1+$BD$8)^3,$H81*N46*(1+$BD$8)^2)</f>
        <v>0</v>
      </c>
      <c r="O81" s="40"/>
      <c r="P81" s="74">
        <f>IF($BD$16="Yes",$H81*P46*(1+$BD$8)^4,$H81*P46*(1+$BD$8)^3)</f>
        <v>0</v>
      </c>
      <c r="Q81" s="40"/>
      <c r="R81" s="74">
        <f>IF($BD$16="Yes",$H81*R46*(1+$BD$8)^5,$H81*R46*(1+$BD$8)^4)</f>
        <v>0</v>
      </c>
      <c r="S81" s="74"/>
      <c r="T81" s="74">
        <f>IF($BD$16="Yes",$H81*T46*(1+$BD$8)^6,$H81*T46*(1+$BD$8)^5)</f>
        <v>0</v>
      </c>
      <c r="V81" s="74">
        <f>IF($BD$16="Yes",$H81*V46*(1+$BD$8)^7,$H81*V46*(1+$BD$8)^6)</f>
        <v>0</v>
      </c>
      <c r="W81" s="74"/>
      <c r="X81" s="74">
        <f>IF($BD$16="Yes",$H81*X46*(1+$BD$8)^8,$H81*X46*(1+$BD$8)^7)</f>
        <v>0</v>
      </c>
      <c r="Y81" s="74"/>
      <c r="Z81" s="74">
        <f>IF($BD$16="Yes",$H81*Z46*(1+$BD$8)^9,$H81*Z46*(1+$BD$8)^8)</f>
        <v>0</v>
      </c>
      <c r="AA81" s="74"/>
      <c r="AB81" s="74">
        <f>IF($BD$16="Yes",$H81*AB46*(1+$BD$8)^10,$H81*AB46*(1+$BD$8)^9)</f>
        <v>0</v>
      </c>
      <c r="AC81" s="74"/>
      <c r="AD81" s="74">
        <f t="shared" si="42"/>
        <v>0</v>
      </c>
      <c r="AE81" s="74"/>
      <c r="AF81" s="321">
        <f>IF($BD$16="Yes",$H81*AF46*(1+$BD$8),$H81*AF46)</f>
        <v>0</v>
      </c>
      <c r="AG81" s="40"/>
      <c r="AH81" s="321">
        <f>IF($BD$16="Yes",$H81*AH46*(1+$BD$8)^2,$H81*AH46*(1+$BD$8))</f>
        <v>0</v>
      </c>
      <c r="AI81" s="40"/>
      <c r="AJ81" s="321">
        <f>IF($BD$16="Yes",$H81*AJ46*(1+$BD$8)^3,$H81*AJ46*(1+$BD$8)^2)</f>
        <v>0</v>
      </c>
      <c r="AK81" s="40"/>
      <c r="AL81" s="321">
        <f>IF($BD$16="Yes",$H81*AL46*(1+$BD$8)^4,$H81*AL46*(1+$BD$8)^3)</f>
        <v>0</v>
      </c>
      <c r="AM81" s="40"/>
      <c r="AN81" s="321">
        <f>IF($BD$16="Yes",$H81*AN46*(1+$BD$8)^5,$H81*AN46*(1+$BD$8)^4)</f>
        <v>0</v>
      </c>
      <c r="AO81" s="74"/>
      <c r="AP81" s="321">
        <f>IF($BD$16="Yes",$H81*AP46*(1+$BD$8)^6,$H81*AP46*(1+$BD$8)^5)</f>
        <v>0</v>
      </c>
      <c r="AR81" s="321">
        <f>IF($BD$16="Yes",$H81*AR46*(1+$BD$8)^7,$H81*AR46*(1+$BD$8)^6)</f>
        <v>0</v>
      </c>
      <c r="AS81" s="74"/>
      <c r="AT81" s="321">
        <f>IF($BD$16="Yes",$H81*AT46*(1+$BD$8)^8,$H81*AT46*(1+$BD$8)^7)</f>
        <v>0</v>
      </c>
      <c r="AU81" s="74"/>
      <c r="AV81" s="321">
        <f>IF($BD$16="Yes",$H81*AV46*(1+$BD$8)^9,$H81*AV46*(1+$BD$8)^8)</f>
        <v>0</v>
      </c>
      <c r="AW81" s="74"/>
      <c r="AX81" s="321">
        <f>IF($BD$16="Yes",$H81*AX46*(1+$BD$8)^10,$H81*AX46*(1+$BD$8)^9)</f>
        <v>0</v>
      </c>
      <c r="AY81" s="74"/>
      <c r="AZ81" s="321">
        <f t="shared" si="43"/>
        <v>0</v>
      </c>
      <c r="BF81" s="55"/>
      <c r="BJ81" s="55"/>
      <c r="BN81" s="55"/>
      <c r="BR81" s="55"/>
      <c r="BV81" s="55"/>
      <c r="BZ81" s="55"/>
      <c r="CD81" s="55"/>
      <c r="CH81" s="55"/>
      <c r="CL81" s="55"/>
      <c r="CP81" s="55"/>
    </row>
    <row r="82" spans="1:94" x14ac:dyDescent="0.25">
      <c r="A82" s="32" t="str">
        <f>A48</f>
        <v>Graduate Research Assistant</v>
      </c>
      <c r="C82" s="73" t="str">
        <f>C47</f>
        <v>Graduate Research Assistant</v>
      </c>
      <c r="H82" s="346">
        <f>VLOOKUP(A82,Hidden_Lookups!$A$2:$B$13,2,FALSE)</f>
        <v>0.122</v>
      </c>
      <c r="I82" s="9"/>
      <c r="J82" s="74">
        <f>IF($BD$16="Yes",$H82*SUM(J48:J49)*(1+$BD$8), $H82*SUM(J48:J49))</f>
        <v>0</v>
      </c>
      <c r="K82" s="40"/>
      <c r="L82" s="74">
        <f>IF($BD$16="Yes",$H82*SUM(L48:L49)*(1+$BD$8)^2, $H82*SUM(L48:L49)*(1+$BD$8))</f>
        <v>0</v>
      </c>
      <c r="M82" s="40"/>
      <c r="N82" s="74">
        <f>IF($BD$16="Yes",$H82*SUM(N48:N49)*(1+$BD$8)^3, $H82*SUM(N48:N49)*(1+$BD$8)^2)</f>
        <v>0</v>
      </c>
      <c r="O82" s="40"/>
      <c r="P82" s="74">
        <f>IF($BD$16="Yes",$H$82*SUM(P48:P49)*(1+$BD$8)^4, $H82*SUM(P48:P49)*(1+$BD$8)^3)</f>
        <v>0</v>
      </c>
      <c r="Q82" s="40"/>
      <c r="R82" s="74">
        <f>IF($BD$16="Yes",$H82*SUM(R48:R49)*(1+$BD$8)^5, $H82*SUM(R48:R49)*(1+$BD$8)^4)</f>
        <v>0</v>
      </c>
      <c r="S82" s="74"/>
      <c r="T82" s="74">
        <f>IF($BD$16="Yes",$H82*SUM(T48:T49)*(1+$BD$8)^6, $H82*SUM(T48:T49)*(1+$BD$8)^5)</f>
        <v>0</v>
      </c>
      <c r="V82" s="74">
        <f>IF($BD$16="Yes",$H82*SUM(V48:V49)*(1+$BD$8)^7, $H82*SUM(V48:V49)*(1+$BD$8)^6)</f>
        <v>0</v>
      </c>
      <c r="W82" s="74"/>
      <c r="X82" s="74">
        <f>IF($BD$16="Yes",$H82*SUM(X48:X49)*(1+$BD$8)^8, $H82*SUM(X48:X49)*(1+$BD$8)^7)</f>
        <v>0</v>
      </c>
      <c r="Y82" s="74"/>
      <c r="Z82" s="74">
        <f>IF($BD$16="Yes",$H82*SUM(Z48:Z49)*(1+$BD$8)^9, $H82*SUM(Z48:Z49)*(1+$BD$8)^8)</f>
        <v>0</v>
      </c>
      <c r="AA82" s="74"/>
      <c r="AB82" s="74">
        <f>IF($BD$16="Yes",$H82*SUM(AB48:AB49)*(1+$BD$8)^10, $H82*SUM(AB48:AB49)*(1+$BD$8)^9)</f>
        <v>0</v>
      </c>
      <c r="AC82" s="74"/>
      <c r="AD82" s="74">
        <f t="shared" si="42"/>
        <v>0</v>
      </c>
      <c r="AE82" s="74"/>
      <c r="AF82" s="321">
        <f>IF($BD$16="Yes",$H82*SUM(AF48:AF49)*(1+$BD$8), $H82*SUM(AF48:AF49))</f>
        <v>0</v>
      </c>
      <c r="AG82" s="40"/>
      <c r="AH82" s="321">
        <f>IF($BD$16="Yes",$H82*SUM(AH48:AH49)*(1+$BD$8)^2, $H82*SUM(AH48:AH49)*(1+$BD$8))</f>
        <v>0</v>
      </c>
      <c r="AI82" s="40"/>
      <c r="AJ82" s="321">
        <f>IF($BD$16="Yes",$H82*SUM(AJ48:AJ49)*(1+$BD$8)^3, $H82*SUM(AJ48:AJ49)*(1+$BD$8)^2)</f>
        <v>0</v>
      </c>
      <c r="AK82" s="40"/>
      <c r="AL82" s="321">
        <f>IF($BD$16="Yes",$H$82*SUM(AL48:AL49)*(1+$BD$8)^4, $H82*SUM(AL48:AL49)*(1+$BD$8)^3)</f>
        <v>0</v>
      </c>
      <c r="AM82" s="40"/>
      <c r="AN82" s="321">
        <f>IF($BD$16="Yes",$H82*SUM(AN48:AN49)*(1+$BD$8)^5, $H82*SUM(AN48:AN49)*(1+$BD$8)^4)</f>
        <v>0</v>
      </c>
      <c r="AO82" s="74"/>
      <c r="AP82" s="321">
        <f>IF($BD$16="Yes",$H82*SUM(AP48:AP49)*(1+$BD$8)^6, $H82*SUM(AP48:AP49)*(1+$BD$8)^5)</f>
        <v>0</v>
      </c>
      <c r="AR82" s="321">
        <f>IF($BD$16="Yes",$H82*SUM(AR48:AR49)*(1+$BD$8)^7, $H82*SUM(AR48:AR49)*(1+$BD$8)^6)</f>
        <v>0</v>
      </c>
      <c r="AS82" s="74"/>
      <c r="AT82" s="321">
        <f>IF($BD$16="Yes",$H82*SUM(AT48:AT49)*(1+$BD$8)^8, $H82*SUM(AT48:AT49)*(1+$BD$8)^7)</f>
        <v>0</v>
      </c>
      <c r="AU82" s="74"/>
      <c r="AV82" s="321">
        <f>IF($BD$16="Yes",$H82*SUM(AV48:AV49)*(1+$BD$8)^9, $H82*SUM(AV48:AV49)*(1+$BD$8)^8)</f>
        <v>0</v>
      </c>
      <c r="AW82" s="74"/>
      <c r="AX82" s="321">
        <f>IF($BD$16="Yes",$H82*SUM(AX48:AX49)*(1+$BD$8)^10, $H82*SUM(AX48:AX49)*(1+$BD$8)^9)</f>
        <v>0</v>
      </c>
      <c r="AY82" s="74"/>
      <c r="AZ82" s="321">
        <f t="shared" si="43"/>
        <v>0</v>
      </c>
      <c r="BF82" s="55"/>
      <c r="BJ82" s="55"/>
      <c r="BN82" s="55"/>
      <c r="BR82" s="55"/>
      <c r="BV82" s="55"/>
      <c r="BZ82" s="55"/>
      <c r="CD82" s="55"/>
      <c r="CH82" s="55"/>
      <c r="CL82" s="55"/>
      <c r="CP82" s="55"/>
    </row>
    <row r="83" spans="1:94" x14ac:dyDescent="0.25">
      <c r="A83" s="32" t="str">
        <f>A51</f>
        <v>Graduate Research Assistant</v>
      </c>
      <c r="C83" s="73" t="str">
        <f>C50</f>
        <v>Graduate Research Assistant</v>
      </c>
      <c r="H83" s="346">
        <f>VLOOKUP(A83,Hidden_Lookups!$A$2:$B$13,2,FALSE)</f>
        <v>0.122</v>
      </c>
      <c r="I83" s="9"/>
      <c r="J83" s="74">
        <f>IF($BD$16="Yes",$H83*SUM(J51:J52)*(1+$BD$8), $H83*SUM(J51:J52))</f>
        <v>0</v>
      </c>
      <c r="K83" s="40"/>
      <c r="L83" s="74">
        <f>IF($BD$16="Yes",$H83*SUM(L51:L52)*(1+$BD$8)^2, $H83*SUM(L51:L52)*(1+$BD$8))</f>
        <v>0</v>
      </c>
      <c r="M83" s="40"/>
      <c r="N83" s="74">
        <f>IF($BD$16="Yes",$H83*SUM(N51:N52)*(1+$BD$8)^3, $H83*SUM(N51:N52)*(1+$BD$8)^2)</f>
        <v>0</v>
      </c>
      <c r="O83" s="40"/>
      <c r="P83" s="74">
        <f>IF($BD$16="Yes",$H$83*SUM(P51:P52)*(1+$BD$8)^4, $H83*SUM(P51:P52)*(1+$BD$8)^3)</f>
        <v>0</v>
      </c>
      <c r="Q83" s="40"/>
      <c r="R83" s="74">
        <f>IF($BD$16="Yes",$H83*SUM(R51:R52)*(1+$BD$8)^5, $H83*SUM(R51:R52)*(1+$BD$8)^4)</f>
        <v>0</v>
      </c>
      <c r="S83" s="74"/>
      <c r="T83" s="74">
        <f>IF($BD$16="Yes",$H83*SUM(T51:T52)*(1+$BD$8)^6, $H83*SUM(T51:T52)*(1+$BD$8)^5)</f>
        <v>0</v>
      </c>
      <c r="V83" s="74">
        <f>IF($BD$16="Yes",$H83*SUM(V51:V52)*(1+$BD$8)^7, $H83*SUM(V51:V52)*(1+$BD$8)^6)</f>
        <v>0</v>
      </c>
      <c r="W83" s="74"/>
      <c r="X83" s="74">
        <f>IF($BD$16="Yes",$H83*SUM(X51:X52)*(1+$BD$8)^8, $H83*SUM(X51:X52)*(1+$BD$8)^7)</f>
        <v>0</v>
      </c>
      <c r="Y83" s="74"/>
      <c r="Z83" s="74">
        <f>IF($BD$16="Yes",$H83*SUM(Z51:Z52)*(1+$BD$8)^9, $H83*SUM(Z51:Z52)*(1+$BD$8)^8)</f>
        <v>0</v>
      </c>
      <c r="AA83" s="74"/>
      <c r="AB83" s="74">
        <f>IF($BD$16="Yes",$H83*SUM(AB51:AB52)*(1+$BD$8)^10, $H83*SUM(AB51:AB52)*(1+$BD$8)^9)</f>
        <v>0</v>
      </c>
      <c r="AC83" s="74"/>
      <c r="AD83" s="74">
        <f t="shared" si="42"/>
        <v>0</v>
      </c>
      <c r="AE83" s="74"/>
      <c r="AF83" s="321">
        <f>IF($BD$16="Yes",$H83*SUM(AF51:AF52)*(1+$BD$8), $H83*SUM(AF51:AF52))</f>
        <v>0</v>
      </c>
      <c r="AG83" s="40"/>
      <c r="AH83" s="321">
        <f>IF($BD$16="Yes",$H83*SUM(AH51:AH52)*(1+$BD$8)^2, $H83*SUM(AH51:AH52)*(1+$BD$8))</f>
        <v>0</v>
      </c>
      <c r="AI83" s="40"/>
      <c r="AJ83" s="321">
        <f>IF($BD$16="Yes",$H83*SUM(AJ51:AJ52)*(1+$BD$8)^3, $H83*SUM(AJ51:AJ52)*(1+$BD$8)^2)</f>
        <v>0</v>
      </c>
      <c r="AK83" s="40"/>
      <c r="AL83" s="321">
        <f>IF($BD$16="Yes",$H$83*SUM(AL51:AL52)*(1+$BD$8)^4, $H83*SUM(AL51:AL52)*(1+$BD$8)^3)</f>
        <v>0</v>
      </c>
      <c r="AM83" s="40"/>
      <c r="AN83" s="321">
        <f>IF($BD$16="Yes",$H83*SUM(AN51:AN52)*(1+$BD$8)^5, $H83*SUM(AN51:AN52)*(1+$BD$8)^4)</f>
        <v>0</v>
      </c>
      <c r="AO83" s="74"/>
      <c r="AP83" s="321">
        <f>IF($BD$16="Yes",$H83*SUM(AP51:AP52)*(1+$BD$8)^6, $H83*SUM(AP51:AP52)*(1+$BD$8)^5)</f>
        <v>0</v>
      </c>
      <c r="AR83" s="321">
        <f>IF($BD$16="Yes",$H83*SUM(AR51:AR52)*(1+$BD$8)^7, $H83*SUM(AR51:AR52)*(1+$BD$8)^6)</f>
        <v>0</v>
      </c>
      <c r="AS83" s="74"/>
      <c r="AT83" s="321">
        <f>IF($BD$16="Yes",$H83*SUM(AT51:AT52)*(1+$BD$8)^8, $H83*SUM(AT51:AT52)*(1+$BD$8)^7)</f>
        <v>0</v>
      </c>
      <c r="AU83" s="74"/>
      <c r="AV83" s="321">
        <f>IF($BD$16="Yes",$H83*SUM(AV51:AV52)*(1+$BD$8)^9, $H83*SUM(AV51:AV52)*(1+$BD$8)^8)</f>
        <v>0</v>
      </c>
      <c r="AW83" s="74"/>
      <c r="AX83" s="321">
        <f>IF($BD$16="Yes",$H83*SUM(AX51:AX52)*(1+$BD$8)^10, $H83*SUM(AX51:AX52)*(1+$BD$8)^9)</f>
        <v>0</v>
      </c>
      <c r="AY83" s="74"/>
      <c r="AZ83" s="321">
        <f t="shared" si="43"/>
        <v>0</v>
      </c>
      <c r="BF83" s="55"/>
      <c r="BJ83" s="55"/>
      <c r="BN83" s="55"/>
      <c r="BR83" s="55"/>
      <c r="BV83" s="55"/>
      <c r="BZ83" s="55"/>
      <c r="CD83" s="55"/>
      <c r="CH83" s="55"/>
      <c r="CL83" s="55"/>
      <c r="CP83" s="55"/>
    </row>
    <row r="84" spans="1:94" x14ac:dyDescent="0.25">
      <c r="A84" s="32" t="str">
        <f>A54</f>
        <v>Graduate Research Assistant</v>
      </c>
      <c r="C84" s="73" t="str">
        <f>C53</f>
        <v>Graduate Research Assistant</v>
      </c>
      <c r="H84" s="346">
        <f>VLOOKUP(A84,Hidden_Lookups!$A$2:$B$13,2,FALSE)</f>
        <v>0.122</v>
      </c>
      <c r="I84" s="9"/>
      <c r="J84" s="74">
        <f>IF($BD$16="Yes",$H84*SUM(J54:J55)*(1+$BD$8), $H84*SUM(J54:J55))</f>
        <v>0</v>
      </c>
      <c r="K84" s="40"/>
      <c r="L84" s="74">
        <f>IF($BD$16="Yes",$H84*SUM(L54:L55)*(1+$BD$8)^2, $H84*SUM(L54:L55)*(1+$BD$8))</f>
        <v>0</v>
      </c>
      <c r="M84" s="40"/>
      <c r="N84" s="74">
        <f>IF($BD$16="Yes",$H84*SUM(N54:N55)*(1+$BD$8)^3, $H84*SUM(N54:N55)*(1+$BD$8)^2)</f>
        <v>0</v>
      </c>
      <c r="O84" s="40"/>
      <c r="P84" s="74">
        <f>IF($BD$16="Yes",$H$84*SUM(P54:P55)*(1+$BD$8)^4, $H84*SUM(P54:P55)*(1+$BD$8)^3)</f>
        <v>0</v>
      </c>
      <c r="Q84" s="40"/>
      <c r="R84" s="74">
        <f>IF($BD$16="Yes",$H84*SUM(R54:R55)*(1+$BD$8)^5, $H84*SUM(R54:R55)*(1+$BD$8)^4)</f>
        <v>0</v>
      </c>
      <c r="S84" s="74"/>
      <c r="T84" s="74">
        <f>IF($BD$16="Yes",$H84*SUM(T54:T55)*(1+$BD$8)^6, $H84*SUM(T54:T55)*(1+$BD$8)^5)</f>
        <v>0</v>
      </c>
      <c r="V84" s="74">
        <f>IF($BD$16="Yes",$H84*SUM(V54:V55)*(1+$BD$8)^7, $H84*SUM(V54:V55)*(1+$BD$8)^6)</f>
        <v>0</v>
      </c>
      <c r="W84" s="74"/>
      <c r="X84" s="74">
        <f>IF($BD$16="Yes",$H84*SUM(X54:X55)*(1+$BD$8)^8, $H84*SUM(X54:X55)*(1+$BD$8)^7)</f>
        <v>0</v>
      </c>
      <c r="Y84" s="74"/>
      <c r="Z84" s="74">
        <f>IF($BD$16="Yes",$H84*SUM(Z54:Z55)*(1+$BD$8)^9, $H84*SUM(Z54:Z55)*(1+$BD$8)^8)</f>
        <v>0</v>
      </c>
      <c r="AA84" s="74"/>
      <c r="AB84" s="74">
        <f>IF($BD$16="Yes",$H84*SUM(AB54:AB55)*(1+$BD$8)^10, $H84*SUM(AB54:AB55)*(1+$BD$8)^9)</f>
        <v>0</v>
      </c>
      <c r="AC84" s="74"/>
      <c r="AD84" s="74">
        <f t="shared" si="42"/>
        <v>0</v>
      </c>
      <c r="AE84" s="74"/>
      <c r="AF84" s="321">
        <f>IF($BD$16="Yes",$H84*SUM(AF54:AF55)*(1+$BD$8), $H84*SUM(AF54:AF55))</f>
        <v>0</v>
      </c>
      <c r="AG84" s="40"/>
      <c r="AH84" s="321">
        <f>IF($BD$16="Yes",$H84*SUM(AH54:AH55)*(1+$BD$8)^2, $H84*SUM(AH54:AH55)*(1+$BD$8))</f>
        <v>0</v>
      </c>
      <c r="AI84" s="40"/>
      <c r="AJ84" s="321">
        <f>IF($BD$16="Yes",$H84*SUM(AJ54:AJ55)*(1+$BD$8)^3, $H84*SUM(AJ54:AJ55)*(1+$BD$8)^2)</f>
        <v>0</v>
      </c>
      <c r="AK84" s="40"/>
      <c r="AL84" s="321">
        <f>IF($BD$16="Yes",$H$84*SUM(AL54:AL55)*(1+$BD$8)^4, $H84*SUM(AL54:AL55)*(1+$BD$8)^3)</f>
        <v>0</v>
      </c>
      <c r="AM84" s="40"/>
      <c r="AN84" s="321">
        <f>IF($BD$16="Yes",$H84*SUM(AN54:AN55)*(1+$BD$8)^5, $H84*SUM(AN54:AN55)*(1+$BD$8)^4)</f>
        <v>0</v>
      </c>
      <c r="AO84" s="74"/>
      <c r="AP84" s="321">
        <f>IF($BD$16="Yes",$H84*SUM(AP54:AP55)*(1+$BD$8)^6, $H84*SUM(AP54:AP55)*(1+$BD$8)^5)</f>
        <v>0</v>
      </c>
      <c r="AR84" s="321">
        <f>IF($BD$16="Yes",$H84*SUM(AR54:AR55)*(1+$BD$8)^7, $H84*SUM(AR54:AR55)*(1+$BD$8)^6)</f>
        <v>0</v>
      </c>
      <c r="AS84" s="74"/>
      <c r="AT84" s="321">
        <f>IF($BD$16="Yes",$H84*SUM(AT54:AT55)*(1+$BD$8)^8, $H84*SUM(AT54:AT55)*(1+$BD$8)^7)</f>
        <v>0</v>
      </c>
      <c r="AU84" s="74"/>
      <c r="AV84" s="321">
        <f>IF($BD$16="Yes",$H84*SUM(AV54:AV55)*(1+$BD$8)^9, $H84*SUM(AV54:AV55)*(1+$BD$8)^8)</f>
        <v>0</v>
      </c>
      <c r="AW84" s="74"/>
      <c r="AX84" s="321">
        <f>IF($BD$16="Yes",$H84*SUM(AX54:AX55)*(1+$BD$8)^10, $H84*SUM(AX54:AX55)*(1+$BD$8)^9)</f>
        <v>0</v>
      </c>
      <c r="AY84" s="74"/>
      <c r="AZ84" s="321">
        <f t="shared" si="43"/>
        <v>0</v>
      </c>
      <c r="BF84" s="55"/>
      <c r="BJ84" s="55"/>
      <c r="BN84" s="55"/>
      <c r="BR84" s="55"/>
      <c r="BV84" s="55"/>
      <c r="BZ84" s="55"/>
      <c r="CD84" s="55"/>
      <c r="CH84" s="55"/>
      <c r="CL84" s="55"/>
      <c r="CP84" s="55"/>
    </row>
    <row r="85" spans="1:94" x14ac:dyDescent="0.25">
      <c r="A85" s="32" t="str">
        <f>A57</f>
        <v>Graduate Research Assistant</v>
      </c>
      <c r="C85" s="73" t="str">
        <f>C56</f>
        <v>Graduate Research Assistant</v>
      </c>
      <c r="H85" s="346">
        <f>VLOOKUP(A85,Hidden_Lookups!$A$2:$B$13,2,FALSE)</f>
        <v>0.122</v>
      </c>
      <c r="I85" s="9"/>
      <c r="J85" s="74">
        <f>IF($BD$16="Yes",$H85*SUM(J57:J58)*(1+$BD$8), $H85*SUM(J57:J58))</f>
        <v>0</v>
      </c>
      <c r="K85" s="40"/>
      <c r="L85" s="74">
        <f>IF($BD$16="Yes",$H85*SUM(L57:L58)*(1+$BD$8)^2, $H85*SUM(L57:L58)*(1+$BD$8))</f>
        <v>0</v>
      </c>
      <c r="M85" s="40"/>
      <c r="N85" s="74">
        <f>IF($BD$16="Yes",$H85*SUM(N57:N58)*(1+$BD$8)^3, $H85*SUM(N57:N58)*(1+$BD$8)^2)</f>
        <v>0</v>
      </c>
      <c r="O85" s="40"/>
      <c r="P85" s="74">
        <f>IF($BD$16="Yes",$H$85*SUM(P57:P58)*(1+$BD$8)^4, $H85*SUM(P57:P58)*(1+$BD$8)^3)</f>
        <v>0</v>
      </c>
      <c r="Q85" s="40"/>
      <c r="R85" s="74">
        <f>IF($BD$16="Yes",$H85*SUM(R57:R58)*(1+$BD$8)^5, $H85*SUM(R57:R58)*(1+$BD$8)^4)</f>
        <v>0</v>
      </c>
      <c r="S85" s="74"/>
      <c r="T85" s="74">
        <f>IF($BD$16="Yes",$H85*SUM(T57:T58)*(1+$BD$8)^6, $H85*SUM(T57:T58)*(1+$BD$8)^5)</f>
        <v>0</v>
      </c>
      <c r="V85" s="74">
        <f>IF($BD$16="Yes",$H85*SUM(V57:V58)*(1+$BD$8)^7, $H85*SUM(V57:V58)*(1+$BD$8)^6)</f>
        <v>0</v>
      </c>
      <c r="W85" s="74"/>
      <c r="X85" s="74">
        <f>IF($BD$16="Yes",$H85*SUM(X57:X58)*(1+$BD$8)^8, $H85*SUM(X57:X58)*(1+$BD$8)^7)</f>
        <v>0</v>
      </c>
      <c r="Y85" s="74"/>
      <c r="Z85" s="74">
        <f>IF($BD$16="Yes",$H85*SUM(Z57:Z58)*(1+$BD$8)^9, $H85*SUM(Z57:Z58)*(1+$BD$8)^8)</f>
        <v>0</v>
      </c>
      <c r="AA85" s="74"/>
      <c r="AB85" s="74">
        <f>IF($BD$16="Yes",$H85*SUM(AB57:AB58)*(1+$BD$8)^10, $H85*SUM(AB57:AB58)*(1+$BD$8)^9)</f>
        <v>0</v>
      </c>
      <c r="AC85" s="74"/>
      <c r="AD85" s="74">
        <f t="shared" si="42"/>
        <v>0</v>
      </c>
      <c r="AE85" s="74"/>
      <c r="AF85" s="321">
        <f>IF($BD$16="Yes",$H85*SUM(AF57:AF58)*(1+$BD$8), $H85*SUM(AF57:AF58))</f>
        <v>0</v>
      </c>
      <c r="AG85" s="40"/>
      <c r="AH85" s="321">
        <f>IF($BD$16="Yes",$H85*SUM(AH57:AH58)*(1+$BD$8)^2, $H85*SUM(AH57:AH58)*(1+$BD$8))</f>
        <v>0</v>
      </c>
      <c r="AI85" s="40"/>
      <c r="AJ85" s="321">
        <f>IF($BD$16="Yes",$H85*SUM(AJ57:AJ58)*(1+$BD$8)^3, $H85*SUM(AJ57:AJ58)*(1+$BD$8)^2)</f>
        <v>0</v>
      </c>
      <c r="AK85" s="40"/>
      <c r="AL85" s="321">
        <f>IF($BD$16="Yes",$H$85*SUM(AL57:AL58)*(1+$BD$8)^4, $H85*SUM(AL57:AL58)*(1+$BD$8)^3)</f>
        <v>0</v>
      </c>
      <c r="AM85" s="40"/>
      <c r="AN85" s="321">
        <f>IF($BD$16="Yes",$H85*SUM(AN57:AN58)*(1+$BD$8)^5, $H85*SUM(AN57:AN58)*(1+$BD$8)^4)</f>
        <v>0</v>
      </c>
      <c r="AO85" s="74"/>
      <c r="AP85" s="321">
        <f>IF($BD$16="Yes",$H85*SUM(AP57:AP58)*(1+$BD$8)^6, $H85*SUM(AP57:AP58)*(1+$BD$8)^5)</f>
        <v>0</v>
      </c>
      <c r="AR85" s="321">
        <f>IF($BD$16="Yes",$H85*SUM(AR57:AR58)*(1+$BD$8)^7, $H85*SUM(AR57:AR58)*(1+$BD$8)^6)</f>
        <v>0</v>
      </c>
      <c r="AS85" s="74"/>
      <c r="AT85" s="321">
        <f>IF($BD$16="Yes",$H85*SUM(AT57:AT58)*(1+$BD$8)^8, $H85*SUM(AT57:AT58)*(1+$BD$8)^7)</f>
        <v>0</v>
      </c>
      <c r="AU85" s="74"/>
      <c r="AV85" s="321">
        <f>IF($BD$16="Yes",$H85*SUM(AV57:AV58)*(1+$BD$8)^9, $H85*SUM(AV57:AV58)*(1+$BD$8)^8)</f>
        <v>0</v>
      </c>
      <c r="AW85" s="74"/>
      <c r="AX85" s="321">
        <f>IF($BD$16="Yes",$H85*SUM(AX57:AX58)*(1+$BD$8)^10, $H85*SUM(AX57:AX58)*(1+$BD$8)^9)</f>
        <v>0</v>
      </c>
      <c r="AY85" s="74"/>
      <c r="AZ85" s="321">
        <f t="shared" si="43"/>
        <v>0</v>
      </c>
      <c r="BF85" s="55"/>
      <c r="BJ85" s="55"/>
      <c r="BN85" s="55"/>
      <c r="BR85" s="55"/>
      <c r="BV85" s="55"/>
      <c r="BZ85" s="55"/>
      <c r="CD85" s="55"/>
      <c r="CH85" s="55"/>
      <c r="CL85" s="55"/>
      <c r="CP85" s="55"/>
    </row>
    <row r="86" spans="1:94" x14ac:dyDescent="0.25">
      <c r="A86" s="32" t="str">
        <f>A60</f>
        <v>Hourly</v>
      </c>
      <c r="B86" s="10"/>
      <c r="C86" s="73" t="s">
        <v>32</v>
      </c>
      <c r="H86" s="346">
        <f>VLOOKUP(A86,Hidden_Lookups!$A$2:$B$13,2,FALSE)</f>
        <v>1.6E-2</v>
      </c>
      <c r="I86" s="9"/>
      <c r="J86" s="74">
        <f>IF($BD$16="Yes",$H86*SUM(J60:J64)*(1+$BD$8), $H86*SUM(J60:J64))</f>
        <v>0</v>
      </c>
      <c r="K86" s="40"/>
      <c r="L86" s="74">
        <f>IF($BD$16="Yes",$H86*SUM(L60:L64)*(1+$BD$8)^2, $H86*SUM(L60:L64)*(1+$BD$8))</f>
        <v>0</v>
      </c>
      <c r="M86" s="40"/>
      <c r="N86" s="74">
        <f>IF($BD$16="Yes",$H86*SUM(N60:N64)*(1+$BD$8)^3, $H86*SUM(N60:N64)*(1+$BD$8)^2)</f>
        <v>0</v>
      </c>
      <c r="O86" s="40"/>
      <c r="P86" s="74">
        <f>IF($BD$16="Yes",$H$86*SUM(P60:P64)*(1+$BD$8)^4, $H86*SUM(P60:P64)*(1+$BD$8)^3)</f>
        <v>0</v>
      </c>
      <c r="Q86" s="40"/>
      <c r="R86" s="74">
        <f>IF($BD$16="Yes",$H86*SUM(R60:R64)*(1+$BD$8)^5, $H86*SUM(R60:R64)*(1+$BD$8)^4)</f>
        <v>0</v>
      </c>
      <c r="S86" s="74"/>
      <c r="T86" s="74">
        <f>IF($BD$16="Yes",$H86*SUM(T60:T64)*(1+$BD$8)^6, $H86*SUM(T60:T64)*(1+$BD$8)^5)</f>
        <v>0</v>
      </c>
      <c r="V86" s="74">
        <f>IF($BD$16="Yes",$H86*SUM(V60:V64)*(1+$BD$8)^7, $H86*SUM(V60:V64)*(1+$BD$8)^6)</f>
        <v>0</v>
      </c>
      <c r="W86" s="74"/>
      <c r="X86" s="74">
        <f>IF($BD$16="Yes",$H86*SUM(X60:X64)*(1+$BD$8)^8, $H86*SUM(X60:X64)*(1+$BD$8)^7)</f>
        <v>0</v>
      </c>
      <c r="Y86" s="74"/>
      <c r="Z86" s="74">
        <f>IF($BD$16="Yes",$H86*SUM(Z60:Z64)*(1+$BD$8)^9, $H86*SUM(Z60:Z64)*(1+$BD$8)^8)</f>
        <v>0</v>
      </c>
      <c r="AA86" s="74"/>
      <c r="AB86" s="74">
        <f>IF($BD$16="Yes",$H86*SUM(AB60:AB64)*(1+$BD$8)^10, $H86*SUM(AB60:AB64)*(1+$BD$8)^9)</f>
        <v>0</v>
      </c>
      <c r="AC86" s="74"/>
      <c r="AD86" s="11">
        <f>J86+L86+N86+P86+R86+T86+V86+X86+Z86+AB86</f>
        <v>0</v>
      </c>
      <c r="AE86" s="74"/>
      <c r="AF86" s="321">
        <f>IF($BD$16="Yes",$H86*SUM(AF60:AF64)*(1+$BD$8), $H86*SUM(AF60:AF64))</f>
        <v>0</v>
      </c>
      <c r="AG86" s="40"/>
      <c r="AH86" s="321">
        <f>IF($BD$16="Yes",$H86*SUM(AH60:AH64)*(1+$BD$8)^2, $H86*SUM(AH60:AH64)*(1+$BD$8))</f>
        <v>0</v>
      </c>
      <c r="AI86" s="40"/>
      <c r="AJ86" s="321">
        <f>IF($BD$16="Yes",$H86*SUM(AJ60:AJ64)*(1+$BD$8)^3, $H86*SUM(AJ60:AJ64)*(1+$BD$8)^2)</f>
        <v>0</v>
      </c>
      <c r="AK86" s="40"/>
      <c r="AL86" s="321">
        <f>IF($BD$16="Yes",$H$86*SUM(AL60:AL64)*(1+$BD$8)^4, $H86*SUM(AL60:AL64)*(1+$BD$8)^3)</f>
        <v>0</v>
      </c>
      <c r="AM86" s="40"/>
      <c r="AN86" s="321">
        <f>IF($BD$16="Yes",$H86*SUM(AN60:AN64)*(1+$BD$8)^5, $H86*SUM(AN60:AN64)*(1+$BD$8)^4)</f>
        <v>0</v>
      </c>
      <c r="AO86" s="74"/>
      <c r="AP86" s="321">
        <f>IF($BD$16="Yes",$H86*SUM(AP60:AP64)*(1+$BD$8)^6, $H86*SUM(AP60:AP64)*(1+$BD$8)^5)</f>
        <v>0</v>
      </c>
      <c r="AR86" s="321">
        <f>IF($BD$16="Yes",$H86*SUM(AR60:AR64)*(1+$BD$8)^7, $H86*SUM(AR60:AR64)*(1+$BD$8)^6)</f>
        <v>0</v>
      </c>
      <c r="AS86" s="74"/>
      <c r="AT86" s="321">
        <f>IF($BD$16="Yes",$H86*SUM(AT60:AT64)*(1+$BD$8)^8, $H86*SUM(AT60:AT64)*(1+$BD$8)^7)</f>
        <v>0</v>
      </c>
      <c r="AU86" s="74"/>
      <c r="AV86" s="321">
        <f>IF($BD$16="Yes",$H86*SUM(AV60:AV64)*(1+$BD$8)^9, $H86*SUM(AV60:AV64)*(1+$BD$8)^8)</f>
        <v>0</v>
      </c>
      <c r="AW86" s="74"/>
      <c r="AX86" s="321">
        <f>IF($BD$16="Yes",$H86*SUM(AX60:AX64)*(1+$BD$8)^10, $H86*SUM(AX60:AX64)*(1+$BD$8)^9)</f>
        <v>0</v>
      </c>
      <c r="AY86" s="74"/>
      <c r="AZ86" s="331">
        <f>AF86+AH86+AJ86+AL86+AN86+AP86+AR86+AT86+AV86+AX86</f>
        <v>0</v>
      </c>
      <c r="BF86" s="55"/>
      <c r="BJ86" s="55"/>
      <c r="BN86" s="55"/>
      <c r="BR86" s="55"/>
      <c r="BV86" s="55"/>
      <c r="BZ86" s="55"/>
      <c r="CD86" s="55"/>
      <c r="CH86" s="55"/>
      <c r="CL86" s="55"/>
      <c r="CP86" s="55"/>
    </row>
    <row r="87" spans="1:94" ht="9" customHeight="1" x14ac:dyDescent="0.25">
      <c r="I87" s="9"/>
      <c r="J87" s="14"/>
      <c r="L87" s="14"/>
      <c r="M87" s="40"/>
      <c r="N87" s="71"/>
      <c r="O87" s="40"/>
      <c r="P87" s="71"/>
      <c r="Q87" s="40"/>
      <c r="R87" s="71"/>
      <c r="S87" s="40"/>
      <c r="T87" s="14"/>
      <c r="V87" s="14"/>
      <c r="W87" s="40"/>
      <c r="X87" s="71"/>
      <c r="Y87" s="40"/>
      <c r="Z87" s="71"/>
      <c r="AA87" s="40"/>
      <c r="AB87" s="71"/>
      <c r="AC87" s="40"/>
      <c r="AD87" s="74"/>
      <c r="AF87" s="324"/>
      <c r="AH87" s="324"/>
      <c r="AI87" s="40"/>
      <c r="AJ87" s="333"/>
      <c r="AK87" s="40"/>
      <c r="AL87" s="333"/>
      <c r="AM87" s="40"/>
      <c r="AN87" s="333"/>
      <c r="AO87" s="40"/>
      <c r="AP87" s="324"/>
      <c r="AR87" s="324"/>
      <c r="AS87" s="40"/>
      <c r="AT87" s="333"/>
      <c r="AU87" s="40"/>
      <c r="AV87" s="333"/>
      <c r="AW87" s="40"/>
      <c r="AX87" s="333"/>
      <c r="AY87" s="40"/>
      <c r="AZ87" s="321"/>
      <c r="BF87" s="55"/>
      <c r="BJ87" s="55"/>
      <c r="BN87" s="55"/>
      <c r="BR87" s="55"/>
      <c r="BV87" s="55"/>
      <c r="BZ87" s="55"/>
      <c r="CD87" s="55"/>
      <c r="CH87" s="55"/>
      <c r="CL87" s="55"/>
      <c r="CP87" s="55"/>
    </row>
    <row r="88" spans="1:94" x14ac:dyDescent="0.25">
      <c r="C88" s="73" t="s">
        <v>7</v>
      </c>
      <c r="J88" s="74">
        <f>SUM(J69:J86)</f>
        <v>0</v>
      </c>
      <c r="L88" s="74">
        <f>SUM(L69:L86)</f>
        <v>0</v>
      </c>
      <c r="M88" s="40"/>
      <c r="N88" s="74">
        <f>SUM(N69:N86)</f>
        <v>0</v>
      </c>
      <c r="O88" s="40"/>
      <c r="P88" s="74">
        <f>SUM(P69:P86)</f>
        <v>0</v>
      </c>
      <c r="Q88" s="40"/>
      <c r="R88" s="74">
        <f>SUM(R69:R86)</f>
        <v>0</v>
      </c>
      <c r="S88" s="40"/>
      <c r="T88" s="74">
        <f>SUM(T69:T86)</f>
        <v>0</v>
      </c>
      <c r="V88" s="74">
        <f>SUM(V69:V86)</f>
        <v>0</v>
      </c>
      <c r="W88" s="40"/>
      <c r="X88" s="74">
        <f>SUM(X69:X86)</f>
        <v>0</v>
      </c>
      <c r="Y88" s="40"/>
      <c r="Z88" s="74">
        <f>SUM(Z69:Z86)</f>
        <v>0</v>
      </c>
      <c r="AA88" s="40"/>
      <c r="AB88" s="74">
        <f>SUM(AB69:AB86)</f>
        <v>0</v>
      </c>
      <c r="AC88" s="74"/>
      <c r="AD88" s="74">
        <f>J88+L88+N88+P88+R88+T88+V88+X88+Z88+AB88</f>
        <v>0</v>
      </c>
      <c r="AE88" s="74"/>
      <c r="AF88" s="321">
        <f>SUM(AF69:AF86)</f>
        <v>0</v>
      </c>
      <c r="AH88" s="321">
        <f>SUM(AH69:AH86)</f>
        <v>0</v>
      </c>
      <c r="AI88" s="40"/>
      <c r="AJ88" s="321">
        <f>SUM(AJ69:AJ86)</f>
        <v>0</v>
      </c>
      <c r="AK88" s="40"/>
      <c r="AL88" s="321">
        <f>SUM(AL69:AL86)</f>
        <v>0</v>
      </c>
      <c r="AM88" s="40"/>
      <c r="AN88" s="321">
        <f>SUM(AN69:AN86)</f>
        <v>0</v>
      </c>
      <c r="AO88" s="40"/>
      <c r="AP88" s="321">
        <f>SUM(AP69:AP86)</f>
        <v>0</v>
      </c>
      <c r="AR88" s="321">
        <f>SUM(AR69:AR86)</f>
        <v>0</v>
      </c>
      <c r="AS88" s="40"/>
      <c r="AT88" s="321">
        <f>SUM(AT69:AT86)</f>
        <v>0</v>
      </c>
      <c r="AU88" s="40"/>
      <c r="AV88" s="321">
        <f>SUM(AV69:AV86)</f>
        <v>0</v>
      </c>
      <c r="AW88" s="40"/>
      <c r="AX88" s="321">
        <f>SUM(AX69:AX86)</f>
        <v>0</v>
      </c>
      <c r="AY88" s="74"/>
      <c r="AZ88" s="321">
        <f>AF88+AH88+AJ88+AL88+AN88+AP88+AR88+AT88+AV88+AX88</f>
        <v>0</v>
      </c>
      <c r="BF88" s="55"/>
      <c r="BJ88" s="55"/>
      <c r="BN88" s="55"/>
      <c r="BR88" s="55"/>
      <c r="BV88" s="55"/>
      <c r="BZ88" s="55"/>
      <c r="CD88" s="55"/>
      <c r="CH88" s="55"/>
      <c r="CL88" s="55"/>
      <c r="CP88" s="55"/>
    </row>
    <row r="89" spans="1:94" x14ac:dyDescent="0.25">
      <c r="M89" s="40"/>
      <c r="N89" s="74"/>
      <c r="O89" s="40"/>
      <c r="P89" s="74"/>
      <c r="Q89" s="40"/>
      <c r="R89" s="74"/>
      <c r="S89" s="40"/>
      <c r="W89" s="40"/>
      <c r="X89" s="74"/>
      <c r="Y89" s="40"/>
      <c r="Z89" s="74"/>
      <c r="AA89" s="40"/>
      <c r="AB89" s="74"/>
      <c r="AC89" s="74"/>
      <c r="AD89" s="74"/>
      <c r="AE89" s="74"/>
      <c r="AI89" s="40"/>
      <c r="AJ89" s="321"/>
      <c r="AK89" s="40"/>
      <c r="AL89" s="321"/>
      <c r="AM89" s="40"/>
      <c r="AN89" s="321"/>
      <c r="AO89" s="40"/>
      <c r="AS89" s="40"/>
      <c r="AT89" s="321"/>
      <c r="AU89" s="40"/>
      <c r="AV89" s="321"/>
      <c r="AW89" s="40"/>
      <c r="AX89" s="321"/>
      <c r="AY89" s="74"/>
      <c r="AZ89" s="321"/>
      <c r="BF89" s="55"/>
      <c r="BJ89" s="55"/>
      <c r="BN89" s="55"/>
      <c r="BR89" s="55"/>
      <c r="BV89" s="55"/>
      <c r="BZ89" s="55"/>
      <c r="CD89" s="55"/>
      <c r="CH89" s="55"/>
      <c r="CL89" s="55"/>
      <c r="CP89" s="55"/>
    </row>
    <row r="90" spans="1:94" x14ac:dyDescent="0.25">
      <c r="C90" s="73" t="s">
        <v>60</v>
      </c>
      <c r="J90" s="74">
        <f>J88+J66</f>
        <v>0</v>
      </c>
      <c r="L90" s="74">
        <f>L88+L66</f>
        <v>0</v>
      </c>
      <c r="M90" s="40"/>
      <c r="N90" s="74">
        <f>N88+N66</f>
        <v>0</v>
      </c>
      <c r="O90" s="40"/>
      <c r="P90" s="74">
        <f>P88+P66</f>
        <v>0</v>
      </c>
      <c r="Q90" s="40"/>
      <c r="R90" s="74">
        <f>R88+R66</f>
        <v>0</v>
      </c>
      <c r="S90" s="40"/>
      <c r="T90" s="74">
        <f>T88+T66</f>
        <v>0</v>
      </c>
      <c r="V90" s="74">
        <f>V88+V66</f>
        <v>0</v>
      </c>
      <c r="W90" s="40"/>
      <c r="X90" s="74">
        <f>X88+X66</f>
        <v>0</v>
      </c>
      <c r="Y90" s="40"/>
      <c r="Z90" s="74">
        <f>Z88+Z66</f>
        <v>0</v>
      </c>
      <c r="AA90" s="40"/>
      <c r="AB90" s="74">
        <f>AB88+AB66</f>
        <v>0</v>
      </c>
      <c r="AC90" s="74"/>
      <c r="AD90" s="74">
        <f>J90+L90+N90+P90+R90+T90+V90+X90+Z90+AB90</f>
        <v>0</v>
      </c>
      <c r="AE90" s="74"/>
      <c r="AF90" s="321">
        <f>AF88+AF66</f>
        <v>0</v>
      </c>
      <c r="AH90" s="321">
        <f>AH88+AH66</f>
        <v>0</v>
      </c>
      <c r="AI90" s="40"/>
      <c r="AJ90" s="321">
        <f>AJ88+AJ66</f>
        <v>0</v>
      </c>
      <c r="AK90" s="40"/>
      <c r="AL90" s="321">
        <f>AL88+AL66</f>
        <v>0</v>
      </c>
      <c r="AM90" s="40"/>
      <c r="AN90" s="321">
        <f>AN88+AN66</f>
        <v>0</v>
      </c>
      <c r="AO90" s="40"/>
      <c r="AP90" s="321">
        <f>AP88+AP66</f>
        <v>0</v>
      </c>
      <c r="AR90" s="321">
        <f>AR88+AR66</f>
        <v>0</v>
      </c>
      <c r="AS90" s="40"/>
      <c r="AT90" s="321">
        <f>AT88+AT66</f>
        <v>0</v>
      </c>
      <c r="AU90" s="40"/>
      <c r="AV90" s="321">
        <f>AV88+AV66</f>
        <v>0</v>
      </c>
      <c r="AW90" s="40"/>
      <c r="AX90" s="321">
        <f>AX88+AX66</f>
        <v>0</v>
      </c>
      <c r="AY90" s="74"/>
      <c r="AZ90" s="321">
        <f>AF90+AH90+AJ90+AL90+AN90+AP90+AR90+AT90+AV90+AX90</f>
        <v>0</v>
      </c>
      <c r="BF90" s="55"/>
      <c r="BJ90" s="55"/>
      <c r="BN90" s="55"/>
      <c r="BR90" s="55"/>
      <c r="BV90" s="55"/>
      <c r="BZ90" s="55"/>
      <c r="CD90" s="55"/>
      <c r="CH90" s="55"/>
      <c r="CL90" s="55"/>
      <c r="CP90" s="55"/>
    </row>
    <row r="91" spans="1:94" x14ac:dyDescent="0.25">
      <c r="M91" s="40"/>
      <c r="N91" s="74"/>
      <c r="O91" s="40"/>
      <c r="P91" s="74"/>
      <c r="Q91" s="40"/>
      <c r="R91" s="74"/>
      <c r="S91" s="40"/>
      <c r="W91" s="40"/>
      <c r="X91" s="74"/>
      <c r="Y91" s="40"/>
      <c r="Z91" s="74"/>
      <c r="AA91" s="40"/>
      <c r="AB91" s="74"/>
      <c r="AC91" s="74"/>
      <c r="AD91" s="74"/>
      <c r="AI91" s="40"/>
      <c r="AJ91" s="321"/>
      <c r="AK91" s="40"/>
      <c r="AL91" s="321"/>
      <c r="AM91" s="40"/>
      <c r="AN91" s="321"/>
      <c r="AO91" s="40"/>
      <c r="AS91" s="40"/>
      <c r="AT91" s="321"/>
      <c r="AU91" s="40"/>
      <c r="AV91" s="321"/>
      <c r="AW91" s="40"/>
      <c r="AX91" s="321"/>
      <c r="AY91" s="74"/>
      <c r="AZ91" s="321"/>
      <c r="BF91" s="55"/>
      <c r="BJ91" s="55"/>
      <c r="BN91" s="55"/>
      <c r="BR91" s="55"/>
      <c r="BV91" s="55"/>
      <c r="BZ91" s="55"/>
      <c r="CD91" s="55"/>
      <c r="CH91" s="55"/>
      <c r="CL91" s="55"/>
      <c r="CP91" s="55"/>
    </row>
    <row r="92" spans="1:94" ht="16.5" customHeight="1" x14ac:dyDescent="0.25">
      <c r="B92" s="10" t="s">
        <v>19</v>
      </c>
      <c r="C92" s="10" t="s">
        <v>68</v>
      </c>
      <c r="M92" s="40"/>
      <c r="N92" s="40"/>
      <c r="O92" s="40"/>
      <c r="P92" s="40"/>
      <c r="Q92" s="40"/>
      <c r="R92" s="40"/>
      <c r="S92" s="40"/>
      <c r="W92" s="40"/>
      <c r="X92" s="40"/>
      <c r="Y92" s="40"/>
      <c r="Z92" s="40"/>
      <c r="AA92" s="40"/>
      <c r="AB92" s="40"/>
      <c r="AC92" s="40"/>
      <c r="AD92" s="74"/>
      <c r="AI92" s="40"/>
      <c r="AJ92" s="85"/>
      <c r="AK92" s="40"/>
      <c r="AL92" s="85"/>
      <c r="AM92" s="40"/>
      <c r="AN92" s="85"/>
      <c r="AO92" s="40"/>
      <c r="AS92" s="40"/>
      <c r="AT92" s="85"/>
      <c r="AU92" s="40"/>
      <c r="AV92" s="85"/>
      <c r="AW92" s="40"/>
      <c r="AX92" s="85"/>
      <c r="AY92" s="40"/>
      <c r="AZ92" s="321"/>
      <c r="BC92" s="68" t="s">
        <v>477</v>
      </c>
      <c r="BF92" s="55"/>
      <c r="BJ92" s="55"/>
      <c r="BN92" s="55"/>
      <c r="BR92" s="55"/>
      <c r="BV92" s="55"/>
      <c r="BZ92" s="55"/>
      <c r="CD92" s="55"/>
      <c r="CH92" s="55"/>
      <c r="CL92" s="55"/>
      <c r="CP92" s="55"/>
    </row>
    <row r="93" spans="1:94" ht="16.5" customHeight="1" outlineLevel="1" x14ac:dyDescent="0.25">
      <c r="A93" s="73" t="s">
        <v>68</v>
      </c>
      <c r="B93" s="10"/>
      <c r="C93" s="73" t="s">
        <v>38</v>
      </c>
      <c r="J93" s="74">
        <v>0</v>
      </c>
      <c r="L93" s="74">
        <v>0</v>
      </c>
      <c r="M93" s="40"/>
      <c r="N93" s="74">
        <v>0</v>
      </c>
      <c r="O93" s="40"/>
      <c r="P93" s="74">
        <v>0</v>
      </c>
      <c r="Q93" s="40"/>
      <c r="R93" s="74">
        <v>0</v>
      </c>
      <c r="S93" s="40"/>
      <c r="T93" s="74">
        <v>0</v>
      </c>
      <c r="V93" s="74">
        <v>0</v>
      </c>
      <c r="W93" s="40"/>
      <c r="X93" s="74">
        <v>0</v>
      </c>
      <c r="Y93" s="40"/>
      <c r="Z93" s="74">
        <v>0</v>
      </c>
      <c r="AA93" s="40"/>
      <c r="AB93" s="74">
        <v>0</v>
      </c>
      <c r="AC93" s="74"/>
      <c r="AD93" s="74">
        <f>J93+L93+N93+P93+R93+T93+V93+X93+Z93+AB93</f>
        <v>0</v>
      </c>
      <c r="AE93" s="74"/>
      <c r="AF93" s="321">
        <v>0</v>
      </c>
      <c r="AH93" s="321">
        <v>0</v>
      </c>
      <c r="AI93" s="40"/>
      <c r="AJ93" s="321">
        <v>0</v>
      </c>
      <c r="AK93" s="40"/>
      <c r="AL93" s="321">
        <v>0</v>
      </c>
      <c r="AM93" s="40"/>
      <c r="AN93" s="321">
        <v>0</v>
      </c>
      <c r="AO93" s="40"/>
      <c r="AP93" s="321">
        <v>0</v>
      </c>
      <c r="AR93" s="321">
        <v>0</v>
      </c>
      <c r="AS93" s="40"/>
      <c r="AT93" s="321">
        <v>0</v>
      </c>
      <c r="AU93" s="40"/>
      <c r="AV93" s="321">
        <v>0</v>
      </c>
      <c r="AW93" s="40"/>
      <c r="AX93" s="321">
        <v>0</v>
      </c>
      <c r="AY93" s="74"/>
      <c r="AZ93" s="321">
        <f>AF93+AH93+AJ93+AL93+AN93+AP93+AR93+AT93+AV93+AX93</f>
        <v>0</v>
      </c>
      <c r="BC93" s="68" t="s">
        <v>476</v>
      </c>
      <c r="BF93" s="55"/>
      <c r="BJ93" s="55"/>
      <c r="BN93" s="55"/>
      <c r="BR93" s="55"/>
      <c r="BV93" s="55"/>
      <c r="BZ93" s="55"/>
      <c r="CD93" s="55"/>
      <c r="CH93" s="55"/>
      <c r="CL93" s="55"/>
      <c r="CP93" s="55"/>
    </row>
    <row r="94" spans="1:94" ht="16.5" customHeight="1" outlineLevel="1" x14ac:dyDescent="0.25">
      <c r="A94" s="73" t="s">
        <v>68</v>
      </c>
      <c r="B94" s="10"/>
      <c r="C94" s="73" t="s">
        <v>39</v>
      </c>
      <c r="J94" s="74">
        <v>0</v>
      </c>
      <c r="L94" s="74">
        <v>0</v>
      </c>
      <c r="M94" s="40"/>
      <c r="N94" s="74">
        <v>0</v>
      </c>
      <c r="O94" s="40"/>
      <c r="P94" s="74">
        <v>0</v>
      </c>
      <c r="Q94" s="40"/>
      <c r="R94" s="74">
        <v>0</v>
      </c>
      <c r="S94" s="40"/>
      <c r="T94" s="74">
        <v>0</v>
      </c>
      <c r="V94" s="74">
        <v>0</v>
      </c>
      <c r="W94" s="40"/>
      <c r="X94" s="74">
        <v>0</v>
      </c>
      <c r="Y94" s="40"/>
      <c r="Z94" s="74">
        <v>0</v>
      </c>
      <c r="AA94" s="40"/>
      <c r="AB94" s="74">
        <v>0</v>
      </c>
      <c r="AC94" s="74"/>
      <c r="AD94" s="74">
        <f>J94+L94+N94+P94+R94+T94+V94+X94+Z94+AB94</f>
        <v>0</v>
      </c>
      <c r="AE94" s="74"/>
      <c r="AF94" s="321">
        <v>0</v>
      </c>
      <c r="AH94" s="321">
        <v>0</v>
      </c>
      <c r="AI94" s="40"/>
      <c r="AJ94" s="321">
        <v>0</v>
      </c>
      <c r="AK94" s="40"/>
      <c r="AL94" s="321">
        <v>0</v>
      </c>
      <c r="AM94" s="40"/>
      <c r="AN94" s="321">
        <v>0</v>
      </c>
      <c r="AO94" s="40"/>
      <c r="AP94" s="321">
        <v>0</v>
      </c>
      <c r="AR94" s="321">
        <v>0</v>
      </c>
      <c r="AS94" s="40"/>
      <c r="AT94" s="321">
        <v>0</v>
      </c>
      <c r="AU94" s="40"/>
      <c r="AV94" s="321">
        <v>0</v>
      </c>
      <c r="AW94" s="40"/>
      <c r="AX94" s="321">
        <v>0</v>
      </c>
      <c r="AY94" s="74"/>
      <c r="AZ94" s="321">
        <f>AF94+AH94+AJ94+AL94+AN94+AP94+AR94+AT94+AV94+AX94</f>
        <v>0</v>
      </c>
      <c r="BF94" s="55"/>
      <c r="BJ94" s="55"/>
      <c r="BN94" s="55"/>
      <c r="BR94" s="55"/>
      <c r="BV94" s="55"/>
      <c r="BZ94" s="55"/>
      <c r="CD94" s="55"/>
      <c r="CH94" s="55"/>
      <c r="CL94" s="55"/>
      <c r="CP94" s="55"/>
    </row>
    <row r="95" spans="1:94" ht="16.5" customHeight="1" outlineLevel="1" x14ac:dyDescent="0.25">
      <c r="A95" s="73" t="s">
        <v>68</v>
      </c>
      <c r="B95" s="10"/>
      <c r="C95" s="73" t="s">
        <v>40</v>
      </c>
      <c r="J95" s="74">
        <v>0</v>
      </c>
      <c r="L95" s="74">
        <v>0</v>
      </c>
      <c r="M95" s="40"/>
      <c r="N95" s="74">
        <v>0</v>
      </c>
      <c r="O95" s="40"/>
      <c r="P95" s="74">
        <v>0</v>
      </c>
      <c r="Q95" s="40"/>
      <c r="R95" s="74">
        <v>0</v>
      </c>
      <c r="S95" s="40"/>
      <c r="T95" s="74">
        <v>0</v>
      </c>
      <c r="V95" s="74">
        <v>0</v>
      </c>
      <c r="W95" s="40"/>
      <c r="X95" s="74">
        <v>0</v>
      </c>
      <c r="Y95" s="40"/>
      <c r="Z95" s="74">
        <v>0</v>
      </c>
      <c r="AA95" s="40"/>
      <c r="AB95" s="74">
        <v>0</v>
      </c>
      <c r="AC95" s="74"/>
      <c r="AD95" s="74">
        <f>J95+L95+N95+P95+R95+T95+V95+X95+Z95+AB95</f>
        <v>0</v>
      </c>
      <c r="AE95" s="74"/>
      <c r="AF95" s="321">
        <v>0</v>
      </c>
      <c r="AH95" s="321">
        <v>0</v>
      </c>
      <c r="AI95" s="40"/>
      <c r="AJ95" s="321">
        <v>0</v>
      </c>
      <c r="AK95" s="40"/>
      <c r="AL95" s="321">
        <v>0</v>
      </c>
      <c r="AM95" s="40"/>
      <c r="AN95" s="321">
        <v>0</v>
      </c>
      <c r="AO95" s="40"/>
      <c r="AP95" s="321">
        <v>0</v>
      </c>
      <c r="AR95" s="321">
        <v>0</v>
      </c>
      <c r="AS95" s="40"/>
      <c r="AT95" s="321">
        <v>0</v>
      </c>
      <c r="AU95" s="40"/>
      <c r="AV95" s="321">
        <v>0</v>
      </c>
      <c r="AW95" s="40"/>
      <c r="AX95" s="321">
        <v>0</v>
      </c>
      <c r="AY95" s="74"/>
      <c r="AZ95" s="321">
        <f>AF95+AH95+AJ95+AL95+AN95+AP95+AR95+AT95+AV95+AX95</f>
        <v>0</v>
      </c>
      <c r="BF95" s="55"/>
      <c r="BJ95" s="55"/>
      <c r="BN95" s="55"/>
      <c r="BR95" s="55"/>
      <c r="BV95" s="55"/>
      <c r="BZ95" s="55"/>
      <c r="CD95" s="55"/>
      <c r="CH95" s="55"/>
      <c r="CL95" s="55"/>
      <c r="CP95" s="55"/>
    </row>
    <row r="96" spans="1:94" ht="16.5" customHeight="1" outlineLevel="1" x14ac:dyDescent="0.25">
      <c r="A96" s="73" t="s">
        <v>68</v>
      </c>
      <c r="B96" s="10"/>
      <c r="C96" s="73" t="s">
        <v>49</v>
      </c>
      <c r="J96" s="74">
        <v>0</v>
      </c>
      <c r="L96" s="74">
        <v>0</v>
      </c>
      <c r="M96" s="40"/>
      <c r="N96" s="74">
        <v>0</v>
      </c>
      <c r="O96" s="40"/>
      <c r="P96" s="74">
        <v>0</v>
      </c>
      <c r="Q96" s="40"/>
      <c r="R96" s="74">
        <v>0</v>
      </c>
      <c r="S96" s="40"/>
      <c r="T96" s="74">
        <v>0</v>
      </c>
      <c r="V96" s="74">
        <v>0</v>
      </c>
      <c r="W96" s="40"/>
      <c r="X96" s="74">
        <v>0</v>
      </c>
      <c r="Y96" s="40"/>
      <c r="Z96" s="74">
        <v>0</v>
      </c>
      <c r="AA96" s="40"/>
      <c r="AB96" s="74">
        <v>0</v>
      </c>
      <c r="AC96" s="74"/>
      <c r="AD96" s="11">
        <f>J96+L96+N96+P96+R96+T96+V96+X96+Z96+AB96</f>
        <v>0</v>
      </c>
      <c r="AE96" s="74"/>
      <c r="AF96" s="321">
        <v>0</v>
      </c>
      <c r="AH96" s="321">
        <v>0</v>
      </c>
      <c r="AI96" s="40"/>
      <c r="AJ96" s="321">
        <v>0</v>
      </c>
      <c r="AK96" s="40"/>
      <c r="AL96" s="321">
        <v>0</v>
      </c>
      <c r="AM96" s="40"/>
      <c r="AN96" s="321">
        <v>0</v>
      </c>
      <c r="AO96" s="40"/>
      <c r="AP96" s="321">
        <v>0</v>
      </c>
      <c r="AR96" s="321">
        <v>0</v>
      </c>
      <c r="AS96" s="40"/>
      <c r="AT96" s="321">
        <v>0</v>
      </c>
      <c r="AU96" s="40"/>
      <c r="AV96" s="321">
        <v>0</v>
      </c>
      <c r="AW96" s="40"/>
      <c r="AX96" s="321">
        <v>0</v>
      </c>
      <c r="AY96" s="74"/>
      <c r="AZ96" s="331">
        <f>AF96+AH96+AJ96+AL96+AN96+AP96+AR96+AT96+AV96+AX96</f>
        <v>0</v>
      </c>
      <c r="BF96" s="55"/>
      <c r="BJ96" s="55"/>
      <c r="BN96" s="55"/>
      <c r="BR96" s="55"/>
      <c r="BV96" s="55"/>
      <c r="BZ96" s="55"/>
      <c r="CD96" s="55"/>
      <c r="CH96" s="55"/>
      <c r="CL96" s="55"/>
      <c r="CP96" s="55"/>
    </row>
    <row r="97" spans="1:94" ht="9.6" customHeight="1" x14ac:dyDescent="0.25">
      <c r="J97" s="14"/>
      <c r="L97" s="14"/>
      <c r="M97" s="40"/>
      <c r="N97" s="14"/>
      <c r="O97" s="40"/>
      <c r="P97" s="14"/>
      <c r="Q97" s="40"/>
      <c r="R97" s="14"/>
      <c r="S97" s="40"/>
      <c r="T97" s="14"/>
      <c r="V97" s="14"/>
      <c r="W97" s="40"/>
      <c r="X97" s="14"/>
      <c r="Y97" s="40"/>
      <c r="Z97" s="14"/>
      <c r="AA97" s="40"/>
      <c r="AB97" s="14"/>
      <c r="AC97" s="74"/>
      <c r="AD97" s="74"/>
      <c r="AE97" s="74"/>
      <c r="AF97" s="324"/>
      <c r="AH97" s="324"/>
      <c r="AI97" s="40"/>
      <c r="AJ97" s="324"/>
      <c r="AK97" s="40"/>
      <c r="AL97" s="324"/>
      <c r="AM97" s="40"/>
      <c r="AN97" s="324"/>
      <c r="AO97" s="40"/>
      <c r="AP97" s="324"/>
      <c r="AR97" s="324"/>
      <c r="AS97" s="40"/>
      <c r="AT97" s="324"/>
      <c r="AU97" s="40"/>
      <c r="AV97" s="324"/>
      <c r="AW97" s="40"/>
      <c r="AX97" s="324"/>
      <c r="AY97" s="74"/>
      <c r="AZ97" s="321"/>
      <c r="BF97" s="55"/>
      <c r="BJ97" s="55"/>
      <c r="BN97" s="55"/>
      <c r="BR97" s="55"/>
      <c r="BV97" s="55"/>
      <c r="BZ97" s="55"/>
      <c r="CD97" s="55"/>
      <c r="CH97" s="55"/>
      <c r="CL97" s="55"/>
      <c r="CP97" s="55"/>
    </row>
    <row r="98" spans="1:94" x14ac:dyDescent="0.25">
      <c r="C98" s="73" t="s">
        <v>219</v>
      </c>
      <c r="J98" s="74">
        <f>SUM(J92:J96)</f>
        <v>0</v>
      </c>
      <c r="L98" s="74">
        <f>SUM(L92:L96)</f>
        <v>0</v>
      </c>
      <c r="M98" s="40"/>
      <c r="N98" s="74">
        <f>SUM(N92:N96)</f>
        <v>0</v>
      </c>
      <c r="O98" s="40"/>
      <c r="P98" s="74">
        <f>SUM(P92:P96)</f>
        <v>0</v>
      </c>
      <c r="Q98" s="40"/>
      <c r="R98" s="74">
        <f>SUM(R92:R96)</f>
        <v>0</v>
      </c>
      <c r="S98" s="40"/>
      <c r="T98" s="74">
        <f>SUM(T92:T96)</f>
        <v>0</v>
      </c>
      <c r="V98" s="74">
        <f>SUM(V92:V96)</f>
        <v>0</v>
      </c>
      <c r="W98" s="40"/>
      <c r="X98" s="74">
        <f>SUM(X92:X96)</f>
        <v>0</v>
      </c>
      <c r="Y98" s="40"/>
      <c r="Z98" s="74">
        <f>SUM(Z92:Z96)</f>
        <v>0</v>
      </c>
      <c r="AA98" s="40"/>
      <c r="AB98" s="74">
        <f>SUM(AB92:AB96)</f>
        <v>0</v>
      </c>
      <c r="AC98" s="74"/>
      <c r="AD98" s="74">
        <f>J98+L98+N98+P98+R98+T98+V98+X98+Z98+AB98</f>
        <v>0</v>
      </c>
      <c r="AE98" s="74"/>
      <c r="AF98" s="321">
        <f>SUM(AF92:AF96)</f>
        <v>0</v>
      </c>
      <c r="AH98" s="321">
        <f>SUM(AH92:AH96)</f>
        <v>0</v>
      </c>
      <c r="AI98" s="40"/>
      <c r="AJ98" s="321">
        <f>SUM(AJ92:AJ96)</f>
        <v>0</v>
      </c>
      <c r="AK98" s="40"/>
      <c r="AL98" s="321">
        <f>SUM(AL92:AL96)</f>
        <v>0</v>
      </c>
      <c r="AM98" s="40"/>
      <c r="AN98" s="321">
        <f>SUM(AN92:AN96)</f>
        <v>0</v>
      </c>
      <c r="AO98" s="40"/>
      <c r="AP98" s="321">
        <f>SUM(AP92:AP96)</f>
        <v>0</v>
      </c>
      <c r="AR98" s="321">
        <f>SUM(AR92:AR96)</f>
        <v>0</v>
      </c>
      <c r="AS98" s="40"/>
      <c r="AT98" s="321">
        <f>SUM(AT92:AT96)</f>
        <v>0</v>
      </c>
      <c r="AU98" s="40"/>
      <c r="AV98" s="321">
        <f>SUM(AV92:AV96)</f>
        <v>0</v>
      </c>
      <c r="AW98" s="40"/>
      <c r="AX98" s="321">
        <f>SUM(AX92:AX96)</f>
        <v>0</v>
      </c>
      <c r="AY98" s="74"/>
      <c r="AZ98" s="321">
        <f>AF98+AH98+AJ98+AL98+AN98+AP98+AR98+AT98+AV98+AX98</f>
        <v>0</v>
      </c>
      <c r="BF98" s="55"/>
      <c r="BJ98" s="55"/>
      <c r="BN98" s="55"/>
      <c r="BR98" s="55"/>
      <c r="BV98" s="55"/>
      <c r="BZ98" s="55"/>
      <c r="CD98" s="55"/>
      <c r="CH98" s="55"/>
      <c r="CL98" s="55"/>
      <c r="CP98" s="55"/>
    </row>
    <row r="99" spans="1:94" x14ac:dyDescent="0.25">
      <c r="M99" s="40"/>
      <c r="N99" s="40"/>
      <c r="O99" s="40"/>
      <c r="P99" s="40"/>
      <c r="Q99" s="40"/>
      <c r="R99" s="40"/>
      <c r="S99" s="40"/>
      <c r="W99" s="40"/>
      <c r="X99" s="40"/>
      <c r="Y99" s="40"/>
      <c r="Z99" s="40"/>
      <c r="AA99" s="40"/>
      <c r="AB99" s="40"/>
      <c r="AC99" s="40"/>
      <c r="AD99" s="74"/>
      <c r="AI99" s="40"/>
      <c r="AJ99" s="85"/>
      <c r="AK99" s="40"/>
      <c r="AL99" s="85"/>
      <c r="AM99" s="40"/>
      <c r="AN99" s="85"/>
      <c r="AO99" s="40"/>
      <c r="AS99" s="40"/>
      <c r="AT99" s="85"/>
      <c r="AU99" s="40"/>
      <c r="AV99" s="85"/>
      <c r="AW99" s="40"/>
      <c r="AX99" s="85"/>
      <c r="AY99" s="40"/>
      <c r="AZ99" s="321"/>
      <c r="BF99" s="55"/>
      <c r="BJ99" s="55"/>
      <c r="BN99" s="55"/>
      <c r="BR99" s="55"/>
      <c r="BV99" s="55"/>
      <c r="BZ99" s="55"/>
      <c r="CD99" s="55"/>
      <c r="CH99" s="55"/>
      <c r="CL99" s="55"/>
      <c r="CP99" s="55"/>
    </row>
    <row r="100" spans="1:94" x14ac:dyDescent="0.25">
      <c r="B100" s="10" t="s">
        <v>8</v>
      </c>
      <c r="C100" s="10" t="s">
        <v>10</v>
      </c>
      <c r="M100" s="40"/>
      <c r="N100" s="40"/>
      <c r="O100" s="40"/>
      <c r="P100" s="40"/>
      <c r="Q100" s="40"/>
      <c r="R100" s="40"/>
      <c r="S100" s="40"/>
      <c r="W100" s="40"/>
      <c r="X100" s="40"/>
      <c r="Y100" s="40"/>
      <c r="Z100" s="40"/>
      <c r="AA100" s="40"/>
      <c r="AB100" s="40"/>
      <c r="AC100" s="40"/>
      <c r="AD100" s="74"/>
      <c r="AI100" s="40"/>
      <c r="AJ100" s="85"/>
      <c r="AK100" s="40"/>
      <c r="AL100" s="85"/>
      <c r="AM100" s="40"/>
      <c r="AN100" s="85"/>
      <c r="AO100" s="40"/>
      <c r="AS100" s="40"/>
      <c r="AT100" s="85"/>
      <c r="AU100" s="40"/>
      <c r="AV100" s="85"/>
      <c r="AW100" s="40"/>
      <c r="AX100" s="85"/>
      <c r="AY100" s="40"/>
      <c r="AZ100" s="321"/>
      <c r="BC100" s="12" t="s">
        <v>343</v>
      </c>
      <c r="BD100" s="85" t="s">
        <v>252</v>
      </c>
      <c r="BF100" s="55"/>
      <c r="BJ100" s="55"/>
      <c r="BN100" s="55"/>
      <c r="BR100" s="55"/>
      <c r="BV100" s="55"/>
      <c r="BZ100" s="55"/>
      <c r="CD100" s="55"/>
      <c r="CH100" s="55"/>
      <c r="CL100" s="55"/>
      <c r="CP100" s="55"/>
    </row>
    <row r="101" spans="1:94" outlineLevel="1" x14ac:dyDescent="0.25">
      <c r="A101" s="32"/>
      <c r="B101" s="10"/>
      <c r="C101" s="12" t="s">
        <v>34</v>
      </c>
      <c r="E101" s="62" t="s">
        <v>70</v>
      </c>
      <c r="F101" s="63" t="s">
        <v>69</v>
      </c>
      <c r="G101" s="63"/>
      <c r="H101" s="63" t="s">
        <v>389</v>
      </c>
      <c r="M101" s="40"/>
      <c r="N101" s="40"/>
      <c r="O101" s="40"/>
      <c r="P101" s="40"/>
      <c r="Q101" s="40"/>
      <c r="R101" s="40"/>
      <c r="S101" s="40"/>
      <c r="W101" s="40"/>
      <c r="X101" s="40"/>
      <c r="Y101" s="40"/>
      <c r="Z101" s="40"/>
      <c r="AA101" s="40"/>
      <c r="AB101" s="40"/>
      <c r="AC101" s="40"/>
      <c r="AD101" s="74"/>
      <c r="AE101" s="74"/>
      <c r="AI101" s="40"/>
      <c r="AJ101" s="85"/>
      <c r="AK101" s="40"/>
      <c r="AL101" s="85"/>
      <c r="AM101" s="40"/>
      <c r="AN101" s="85"/>
      <c r="AO101" s="40"/>
      <c r="AS101" s="40"/>
      <c r="AT101" s="85"/>
      <c r="AU101" s="40"/>
      <c r="AV101" s="85"/>
      <c r="AW101" s="40"/>
      <c r="AX101" s="85"/>
      <c r="AY101" s="40"/>
      <c r="AZ101" s="321"/>
      <c r="BF101" s="55"/>
      <c r="BJ101" s="55"/>
      <c r="BN101" s="55"/>
      <c r="BR101" s="55"/>
      <c r="BV101" s="55"/>
      <c r="BZ101" s="55"/>
      <c r="CD101" s="55"/>
      <c r="CH101" s="55"/>
      <c r="CL101" s="55"/>
      <c r="CP101" s="55"/>
    </row>
    <row r="102" spans="1:94" outlineLevel="1" x14ac:dyDescent="0.25">
      <c r="A102" s="32"/>
      <c r="B102" s="10"/>
      <c r="C102" s="19" t="s">
        <v>357</v>
      </c>
      <c r="E102" s="17"/>
      <c r="F102" s="16"/>
      <c r="G102" s="16"/>
      <c r="H102" s="363"/>
      <c r="J102" s="353">
        <f>IF(BD15&lt;1,0, ($H102))</f>
        <v>0</v>
      </c>
      <c r="K102" s="352"/>
      <c r="L102" s="353">
        <f>IF(BD15&lt;2,0, ($H102))</f>
        <v>0</v>
      </c>
      <c r="M102" s="352"/>
      <c r="N102" s="353">
        <f>IF(BD15&lt;3,0, ($H102))</f>
        <v>0</v>
      </c>
      <c r="O102" s="352"/>
      <c r="P102" s="353">
        <f>IF(BD15&lt;4,0, ($H102))</f>
        <v>0</v>
      </c>
      <c r="Q102" s="352"/>
      <c r="R102" s="353">
        <f>IF(BD15&lt;5,0, ($H102))</f>
        <v>0</v>
      </c>
      <c r="S102" s="352"/>
      <c r="T102" s="353">
        <f>IF(BD15&lt;6,0, ($H102))</f>
        <v>0</v>
      </c>
      <c r="U102" s="352"/>
      <c r="V102" s="353">
        <f>IF(BD15&lt;7,0, ($H102))</f>
        <v>0</v>
      </c>
      <c r="W102" s="352"/>
      <c r="X102" s="353">
        <f>IF(BD15&lt;8,0, ($H102))</f>
        <v>0</v>
      </c>
      <c r="Y102" s="352"/>
      <c r="Z102" s="353">
        <f>IF(BD15&lt;9,0, ($H102))</f>
        <v>0</v>
      </c>
      <c r="AA102" s="352"/>
      <c r="AB102" s="353">
        <f>IF(BD15&lt;10,0, ($H102))</f>
        <v>0</v>
      </c>
      <c r="AC102" s="352"/>
      <c r="AD102" s="354">
        <f>J102+L102+N102+P102+R102+T102+V102+X102+Z102+AB102</f>
        <v>0</v>
      </c>
      <c r="AI102" s="40"/>
      <c r="AJ102" s="85"/>
      <c r="AK102" s="40"/>
      <c r="AL102" s="85"/>
      <c r="AM102" s="40"/>
      <c r="AN102" s="85"/>
      <c r="AO102" s="40"/>
      <c r="AS102" s="40"/>
      <c r="AT102" s="85"/>
      <c r="AU102" s="40"/>
      <c r="AV102" s="85"/>
      <c r="AW102" s="40"/>
      <c r="AX102" s="85"/>
      <c r="AY102" s="40"/>
      <c r="AZ102" s="321"/>
      <c r="BF102" s="55"/>
      <c r="BJ102" s="55"/>
      <c r="BN102" s="55"/>
      <c r="BR102" s="55"/>
      <c r="BV102" s="55"/>
      <c r="BZ102" s="55"/>
      <c r="CD102" s="55"/>
      <c r="CH102" s="55"/>
      <c r="CL102" s="55"/>
      <c r="CP102" s="55"/>
    </row>
    <row r="103" spans="1:94" outlineLevel="1" x14ac:dyDescent="0.25">
      <c r="A103" s="32" t="s">
        <v>237</v>
      </c>
      <c r="B103" s="10"/>
      <c r="C103" s="13"/>
      <c r="D103" s="73" t="s">
        <v>72</v>
      </c>
      <c r="E103" s="62"/>
      <c r="F103" s="63"/>
      <c r="G103" s="63"/>
      <c r="H103" s="63"/>
      <c r="J103" s="74">
        <f>E103*J102</f>
        <v>0</v>
      </c>
      <c r="L103" s="74">
        <f>IF($BD$15&lt;2,0, IF($BD$100="Yes", (E103*L102)*(1+$BD$10),(E103*L102)))</f>
        <v>0</v>
      </c>
      <c r="M103" s="74"/>
      <c r="N103" s="74">
        <f>IF($BD$15&lt;3,0, IF($BD$100="Yes", (E103*N102)*(1+$BD$10)^2,(E103*N102)))</f>
        <v>0</v>
      </c>
      <c r="O103" s="74"/>
      <c r="P103" s="74">
        <f>IF($BD$15&lt;4,0, IF($BD$100="Yes", (E103*P102)*(1+$BD$10)^3,(E103*P102)))</f>
        <v>0</v>
      </c>
      <c r="Q103" s="74"/>
      <c r="R103" s="74">
        <f>IF($BD$15&lt;5,0, IF($BD$100="Yes", (E103*R102)*(1+$BD$10)^4,(E103*R102)))</f>
        <v>0</v>
      </c>
      <c r="S103" s="74"/>
      <c r="T103" s="74">
        <f>IF($BD$15&lt;6,0, IF($BD$100="Yes", (E103*T102)*(1+$BD$10)^5,(E103*T102)))</f>
        <v>0</v>
      </c>
      <c r="V103" s="74">
        <f>IF($BD$15&lt;7,0, IF($BD$100="Yes", (E103*V102)*(1+$BD$10)^6,(E103*V102)))</f>
        <v>0</v>
      </c>
      <c r="W103" s="74"/>
      <c r="X103" s="74">
        <f>IF($BD$15&lt;8,0, IF($BD$100="Yes", (E103*X102)*(1+$BD$10)^7,(E103*X102)))</f>
        <v>0</v>
      </c>
      <c r="Y103" s="74"/>
      <c r="Z103" s="74">
        <f>IF($BD$15&lt;9,0, IF($BD$100="Yes", (E103*Z102)*(1+$BD$10)^8,(E103*Z102)))</f>
        <v>0</v>
      </c>
      <c r="AA103" s="74"/>
      <c r="AB103" s="74">
        <f>IF($BD$15&lt;10,0, IF($BD$100="Yes", (E103*AB102)*(1+$BD$10)^9,(E103*AB102)))</f>
        <v>0</v>
      </c>
      <c r="AC103" s="74"/>
      <c r="AD103" s="74">
        <f>J103+L103+N103+P103+R103+T103+V103+X103+Z103+AB103</f>
        <v>0</v>
      </c>
      <c r="AF103" s="321">
        <v>0</v>
      </c>
      <c r="AH103" s="321">
        <v>0</v>
      </c>
      <c r="AI103" s="74"/>
      <c r="AJ103" s="321">
        <v>0</v>
      </c>
      <c r="AK103" s="74"/>
      <c r="AL103" s="321">
        <v>0</v>
      </c>
      <c r="AM103" s="74"/>
      <c r="AN103" s="321">
        <v>0</v>
      </c>
      <c r="AO103" s="74"/>
      <c r="AP103" s="321">
        <v>0</v>
      </c>
      <c r="AR103" s="321">
        <v>0</v>
      </c>
      <c r="AS103" s="74"/>
      <c r="AT103" s="321">
        <v>0</v>
      </c>
      <c r="AU103" s="74"/>
      <c r="AV103" s="321">
        <v>0</v>
      </c>
      <c r="AW103" s="74"/>
      <c r="AX103" s="321">
        <v>0</v>
      </c>
      <c r="AY103" s="74"/>
      <c r="AZ103" s="321">
        <f>AF103+AH103+AJ103+AL103+AN103+AP103+AR103+AT103+AV103+AX103</f>
        <v>0</v>
      </c>
      <c r="BF103" s="55"/>
      <c r="BJ103" s="55"/>
      <c r="BN103" s="55"/>
      <c r="BR103" s="55"/>
      <c r="BV103" s="55"/>
      <c r="BZ103" s="55"/>
      <c r="CD103" s="55"/>
      <c r="CH103" s="55"/>
      <c r="CL103" s="55"/>
      <c r="CP103" s="55"/>
    </row>
    <row r="104" spans="1:94" outlineLevel="1" x14ac:dyDescent="0.25">
      <c r="A104" s="32" t="s">
        <v>237</v>
      </c>
      <c r="B104" s="10"/>
      <c r="C104" s="13"/>
      <c r="D104" s="73" t="s">
        <v>80</v>
      </c>
      <c r="E104" s="62"/>
      <c r="F104" s="63"/>
      <c r="G104" s="63"/>
      <c r="H104" s="63"/>
      <c r="J104" s="74">
        <f>E104*F104*J102</f>
        <v>0</v>
      </c>
      <c r="L104" s="74">
        <f>IF($BD$15&lt;2,0, IF($BD$100="Yes", (E104*F104*L102)*(1+$BD$10),(E104*F104*L102)))</f>
        <v>0</v>
      </c>
      <c r="M104" s="40"/>
      <c r="N104" s="74">
        <f>IF($BD$15&lt;3,0, IF($BD$100="Yes", (E104*F104*N102)*(1+$BD$10)^2,(E104*F104*N102)))</f>
        <v>0</v>
      </c>
      <c r="O104" s="40"/>
      <c r="P104" s="74">
        <f>IF($BD$15&lt;4,0, IF($BD$100="Yes", (E104*F104*P102)*(1+$BD$10)^3,(E104*F104*P102)))</f>
        <v>0</v>
      </c>
      <c r="Q104" s="40"/>
      <c r="R104" s="74">
        <f>IF($BD$15&lt;5,0, IF($BD$100="Yes", (E104*F104*R102)*(1+$BD$10)^4,(E104*F104*R102)))</f>
        <v>0</v>
      </c>
      <c r="S104" s="40"/>
      <c r="T104" s="74">
        <f>IF($BD$15&lt;6,0, IF($BD$100="Yes", (E104*F104*T102)*(1+$BD$10)^5,(E104*F104*T102)))</f>
        <v>0</v>
      </c>
      <c r="V104" s="74">
        <f>IF($BD$15&lt;7,0, IF($BD$100="Yes", (E104*F104*V102)*(1+$BD$10)^6,(E104*F104*V102)))</f>
        <v>0</v>
      </c>
      <c r="W104" s="40"/>
      <c r="X104" s="74">
        <f>IF($BD$15&lt;8,0, IF($BD$100="Yes", (E104*F104*X102)*(1+$BD$10)^7,(E104*F104*X102)))</f>
        <v>0</v>
      </c>
      <c r="Y104" s="40"/>
      <c r="Z104" s="74">
        <f>IF($BD$15&lt;9,0, IF($BD$100="Yes", (E104*F104*Z102)*(1+$BD$10)^8,(E104*F104*Z102)))</f>
        <v>0</v>
      </c>
      <c r="AA104" s="40"/>
      <c r="AB104" s="74">
        <f>IF($BD$15&lt;10,0, IF($BD$100="Yes", (E104*F104*AB102)*(1+$BD$10)^9,(E104*F104*AB102)))</f>
        <v>0</v>
      </c>
      <c r="AC104" s="74"/>
      <c r="AD104" s="74">
        <f>J104+L104+N104+P104+R104+T104+V104+X104+Z104+AB104</f>
        <v>0</v>
      </c>
      <c r="AE104" s="74"/>
      <c r="AF104" s="321">
        <v>0</v>
      </c>
      <c r="AH104" s="321">
        <v>0</v>
      </c>
      <c r="AI104" s="40"/>
      <c r="AJ104" s="321">
        <v>0</v>
      </c>
      <c r="AK104" s="40"/>
      <c r="AL104" s="321">
        <v>0</v>
      </c>
      <c r="AM104" s="40"/>
      <c r="AN104" s="321">
        <v>0</v>
      </c>
      <c r="AO104" s="40"/>
      <c r="AP104" s="321">
        <v>0</v>
      </c>
      <c r="AR104" s="321">
        <v>0</v>
      </c>
      <c r="AS104" s="40"/>
      <c r="AT104" s="321">
        <v>0</v>
      </c>
      <c r="AU104" s="40"/>
      <c r="AV104" s="321">
        <v>0</v>
      </c>
      <c r="AW104" s="40"/>
      <c r="AX104" s="321">
        <v>0</v>
      </c>
      <c r="AY104" s="74"/>
      <c r="AZ104" s="321">
        <f>AF104+AH104+AJ104+AL104+AN104+AP104+AR104+AT104+AV104+AX104</f>
        <v>0</v>
      </c>
      <c r="BA104" s="40"/>
      <c r="BF104" s="55"/>
      <c r="BJ104" s="55"/>
      <c r="BN104" s="55"/>
      <c r="BR104" s="55"/>
      <c r="BV104" s="55"/>
      <c r="BZ104" s="55"/>
      <c r="CD104" s="55"/>
      <c r="CH104" s="55"/>
      <c r="CL104" s="55"/>
      <c r="CP104" s="55"/>
    </row>
    <row r="105" spans="1:94" outlineLevel="1" x14ac:dyDescent="0.25">
      <c r="A105" s="32" t="s">
        <v>237</v>
      </c>
      <c r="B105" s="10"/>
      <c r="C105" s="13"/>
      <c r="D105" s="73" t="s">
        <v>260</v>
      </c>
      <c r="E105" s="62"/>
      <c r="F105" s="63"/>
      <c r="G105" s="63"/>
      <c r="H105" s="63"/>
      <c r="J105" s="74">
        <f>E105*F105*J102</f>
        <v>0</v>
      </c>
      <c r="L105" s="74">
        <f>IF($BD$15&lt;2,0, IF($BD$100="Yes", (E105*F105*L102)*(1+$BD$10),(E105*F105*L102)))</f>
        <v>0</v>
      </c>
      <c r="M105" s="40"/>
      <c r="N105" s="74">
        <f>IF($BD$15&lt;3,0, IF($BD$100="Yes", (E105*F105*N102)*(1+$BD$10)^2,(E105*F105*N102)))</f>
        <v>0</v>
      </c>
      <c r="O105" s="40"/>
      <c r="P105" s="74">
        <f>IF($BD$15&lt;4,0, IF($BD$100="Yes", (E105*F105*P102)*(1+$BD$10)^3,(E105*F105*P102)))</f>
        <v>0</v>
      </c>
      <c r="Q105" s="40"/>
      <c r="R105" s="74">
        <f>IF($BD$15&lt;5,0, IF($BD$100="Yes", (E105*F105*R102)*(1+$BD$10)^4,(E105*F105*R102)))</f>
        <v>0</v>
      </c>
      <c r="S105" s="40"/>
      <c r="T105" s="74">
        <f>IF($BD$15&lt;6,0, IF($BD$100="Yes", (E105*F105*T102)*(1+$BD$10)^5,(E105*F105*T102)))</f>
        <v>0</v>
      </c>
      <c r="V105" s="74">
        <f>IF($BD$15&lt;7,0, IF($BD$100="Yes", (E105*F105*V102)*(1+$BD$10)^6,(E105*F105*V102)))</f>
        <v>0</v>
      </c>
      <c r="W105" s="40"/>
      <c r="X105" s="74">
        <f>IF($BD$15&lt;8,0, IF($BD$100="Yes", (E105*F105*X102)*(1+$BD$10)^7,(E105*F105*X102)))</f>
        <v>0</v>
      </c>
      <c r="Y105" s="40"/>
      <c r="Z105" s="74">
        <f>IF($BD$15&lt;9,0, IF($BD$100="Yes", (E105*F105*Z102)*(1+$BD$10)^8,(E105*F105*Z102)))</f>
        <v>0</v>
      </c>
      <c r="AA105" s="40"/>
      <c r="AB105" s="74">
        <f>IF($BD$15&lt;10,0, IF($BD$100="Yes", (E105*F105*AB102)*(1+$BD$10)^9,(E105*F105*AB102)))</f>
        <v>0</v>
      </c>
      <c r="AC105" s="74"/>
      <c r="AD105" s="74">
        <f>J105+L105+N105+P105+R105+T105+V105+X105+Z105+AB105</f>
        <v>0</v>
      </c>
      <c r="AE105" s="74"/>
      <c r="AF105" s="321">
        <v>0</v>
      </c>
      <c r="AH105" s="321">
        <v>0</v>
      </c>
      <c r="AI105" s="40"/>
      <c r="AJ105" s="321">
        <v>0</v>
      </c>
      <c r="AK105" s="40"/>
      <c r="AL105" s="321">
        <v>0</v>
      </c>
      <c r="AM105" s="40"/>
      <c r="AN105" s="321">
        <v>0</v>
      </c>
      <c r="AO105" s="40"/>
      <c r="AP105" s="321">
        <v>0</v>
      </c>
      <c r="AR105" s="321">
        <v>0</v>
      </c>
      <c r="AS105" s="40"/>
      <c r="AT105" s="321">
        <v>0</v>
      </c>
      <c r="AU105" s="40"/>
      <c r="AV105" s="321">
        <v>0</v>
      </c>
      <c r="AW105" s="40"/>
      <c r="AX105" s="321">
        <v>0</v>
      </c>
      <c r="AY105" s="74"/>
      <c r="AZ105" s="321">
        <f>AF105+AH105+AJ105+AL105+AN105+AP105+AR105+AT105+AV105+AX105</f>
        <v>0</v>
      </c>
      <c r="BF105" s="55"/>
      <c r="BJ105" s="55"/>
      <c r="BN105" s="55"/>
      <c r="BR105" s="55"/>
      <c r="BV105" s="55"/>
      <c r="BZ105" s="55"/>
      <c r="CD105" s="55"/>
      <c r="CH105" s="55"/>
      <c r="CL105" s="55"/>
      <c r="CP105" s="55"/>
    </row>
    <row r="106" spans="1:94" outlineLevel="1" x14ac:dyDescent="0.25">
      <c r="A106" s="32" t="s">
        <v>237</v>
      </c>
      <c r="B106" s="10"/>
      <c r="C106" s="13"/>
      <c r="D106" s="73" t="s">
        <v>81</v>
      </c>
      <c r="E106" s="62">
        <v>40</v>
      </c>
      <c r="F106" s="63"/>
      <c r="G106" s="63"/>
      <c r="H106" s="63"/>
      <c r="J106" s="74">
        <f>E106*F106*J102</f>
        <v>0</v>
      </c>
      <c r="L106" s="74">
        <f>IF($BD$15&lt;2,0, IF($BD$100="Yes", (E106*F106*L102)*(1+$BD$10),(E106*F106*L102)))</f>
        <v>0</v>
      </c>
      <c r="M106" s="74"/>
      <c r="N106" s="74">
        <f>IF($BD$15&lt;3,0, IF($BD$100="Yes", (E106*F106*N102)*(1+$BD$10)^2,(E106*F106*N102)))</f>
        <v>0</v>
      </c>
      <c r="O106" s="74"/>
      <c r="P106" s="74">
        <f>IF($BD$15&lt;4,0, IF($BD$100="Yes", (E106*F106*P102)*(1+$BD$10)^3,(E106*F106*P102)))</f>
        <v>0</v>
      </c>
      <c r="Q106" s="74"/>
      <c r="R106" s="74">
        <f>IF($BD$15&lt;5,0, IF($BD$100="Yes", (E106*F106*R102)*(1+$BD$10)^4,(E106*F106*R102)))</f>
        <v>0</v>
      </c>
      <c r="S106" s="74"/>
      <c r="T106" s="74">
        <f>IF($BD$15&lt;6,0, IF($BD$100="Yes", (E106*F106*T102)*(1+$BD$10)^5,(E106*F106*T102)))</f>
        <v>0</v>
      </c>
      <c r="V106" s="74">
        <f>IF($BD$15&lt;7,0, IF($BD$100="Yes", (E106*F106*V102)*(1+$BD$10)^6,(E106*F106*V102)))</f>
        <v>0</v>
      </c>
      <c r="W106" s="74"/>
      <c r="X106" s="74">
        <f>IF($BD$15&lt;8,0, IF($BD$100="Yes", (E106*F106*X102)*(1+$BD$10)^7,(E106*F106*X102)))</f>
        <v>0</v>
      </c>
      <c r="Y106" s="74"/>
      <c r="Z106" s="74">
        <f>IF($BD$15&lt;9,0, IF($BD$100="Yes", (E106*F106*Z102)*(1+$BD$10)^8,(E106*F106*Z102)))</f>
        <v>0</v>
      </c>
      <c r="AA106" s="74"/>
      <c r="AB106" s="74">
        <f>IF($BD$15&lt;10,0, IF($BD$100="Yes", (E106*F106*AB102)*(1+$BD$10)^9,(E106*F106*AB102)))</f>
        <v>0</v>
      </c>
      <c r="AC106" s="74"/>
      <c r="AD106" s="74">
        <f>J106+L106+N106+P106+R106+T106+V106+X106+Z106+AB106</f>
        <v>0</v>
      </c>
      <c r="AE106" s="74"/>
      <c r="AF106" s="321">
        <v>0</v>
      </c>
      <c r="AH106" s="321">
        <v>0</v>
      </c>
      <c r="AI106" s="74"/>
      <c r="AJ106" s="321">
        <v>0</v>
      </c>
      <c r="AK106" s="74"/>
      <c r="AL106" s="321">
        <v>0</v>
      </c>
      <c r="AM106" s="74"/>
      <c r="AN106" s="321">
        <v>0</v>
      </c>
      <c r="AO106" s="74"/>
      <c r="AP106" s="321">
        <v>0</v>
      </c>
      <c r="AR106" s="321">
        <v>0</v>
      </c>
      <c r="AS106" s="74"/>
      <c r="AT106" s="321">
        <v>0</v>
      </c>
      <c r="AU106" s="74"/>
      <c r="AV106" s="321">
        <v>0</v>
      </c>
      <c r="AW106" s="74"/>
      <c r="AX106" s="321">
        <v>0</v>
      </c>
      <c r="AY106" s="74"/>
      <c r="AZ106" s="321">
        <f>AF106+AH106+AJ106+AL106+AN106+AP106+AR106+AT106+AV106+AX106</f>
        <v>0</v>
      </c>
      <c r="BC106" s="347" t="s">
        <v>370</v>
      </c>
      <c r="BF106" s="55"/>
      <c r="BJ106" s="55"/>
      <c r="BN106" s="55"/>
      <c r="BR106" s="55"/>
      <c r="BV106" s="55"/>
      <c r="BZ106" s="55"/>
      <c r="CD106" s="55"/>
      <c r="CH106" s="55"/>
      <c r="CL106" s="55"/>
      <c r="CP106" s="55"/>
    </row>
    <row r="107" spans="1:94" outlineLevel="1" x14ac:dyDescent="0.25">
      <c r="A107" s="32"/>
      <c r="B107" s="10"/>
      <c r="C107" s="13"/>
      <c r="F107" s="63"/>
      <c r="G107" s="63"/>
      <c r="H107" s="63" t="s">
        <v>389</v>
      </c>
      <c r="M107" s="40"/>
      <c r="N107" s="74"/>
      <c r="O107" s="40"/>
      <c r="P107" s="74"/>
      <c r="Q107" s="40"/>
      <c r="R107" s="74"/>
      <c r="S107" s="40"/>
      <c r="W107" s="40"/>
      <c r="X107" s="74"/>
      <c r="Y107" s="40"/>
      <c r="Z107" s="74"/>
      <c r="AA107" s="40"/>
      <c r="AB107" s="74"/>
      <c r="AC107" s="74"/>
      <c r="AD107" s="74"/>
      <c r="AE107" s="74"/>
      <c r="AI107" s="40"/>
      <c r="AJ107" s="321"/>
      <c r="AK107" s="40"/>
      <c r="AL107" s="321"/>
      <c r="AM107" s="40"/>
      <c r="AN107" s="321"/>
      <c r="AO107" s="40"/>
      <c r="AS107" s="40"/>
      <c r="AT107" s="321"/>
      <c r="AU107" s="40"/>
      <c r="AV107" s="321"/>
      <c r="AW107" s="40"/>
      <c r="AX107" s="321"/>
      <c r="AY107" s="74"/>
      <c r="AZ107" s="321"/>
      <c r="BC107" s="1" t="s">
        <v>372</v>
      </c>
      <c r="BF107" s="55"/>
      <c r="BJ107" s="55"/>
      <c r="BN107" s="55"/>
      <c r="BR107" s="55"/>
      <c r="BV107" s="55"/>
      <c r="BZ107" s="55"/>
      <c r="CD107" s="55"/>
      <c r="CH107" s="55"/>
      <c r="CL107" s="55"/>
      <c r="CP107" s="55"/>
    </row>
    <row r="108" spans="1:94" outlineLevel="1" x14ac:dyDescent="0.25">
      <c r="A108" s="32"/>
      <c r="B108" s="10"/>
      <c r="C108" s="19" t="s">
        <v>71</v>
      </c>
      <c r="E108" s="62"/>
      <c r="F108" s="63"/>
      <c r="G108" s="63"/>
      <c r="H108" s="363"/>
      <c r="J108" s="353">
        <f>IF(BD15&lt;1,0, ($H108))</f>
        <v>0</v>
      </c>
      <c r="K108" s="352"/>
      <c r="L108" s="353">
        <f>IF(BD15&lt;2,0, ($H108))</f>
        <v>0</v>
      </c>
      <c r="M108" s="352"/>
      <c r="N108" s="353">
        <f>IF(BD15&lt;3,0, ($H108))</f>
        <v>0</v>
      </c>
      <c r="O108" s="352"/>
      <c r="P108" s="353">
        <f>IF(BD15&lt;4,0, ($H108))</f>
        <v>0</v>
      </c>
      <c r="Q108" s="352"/>
      <c r="R108" s="353">
        <f>IF(BD15&lt;5,0, ($H108))</f>
        <v>0</v>
      </c>
      <c r="S108" s="352"/>
      <c r="T108" s="353">
        <f>IF(BD15&lt;6,0, ($H108))</f>
        <v>0</v>
      </c>
      <c r="U108" s="352"/>
      <c r="V108" s="353">
        <f>IF(BD15&lt;7,0, ($H108))</f>
        <v>0</v>
      </c>
      <c r="W108" s="352"/>
      <c r="X108" s="353">
        <f>IF(BD15&lt;8,0, ($H108))</f>
        <v>0</v>
      </c>
      <c r="Y108" s="352"/>
      <c r="Z108" s="353">
        <f>IF(BD15&lt;9,0, ($H108))</f>
        <v>0</v>
      </c>
      <c r="AA108" s="352"/>
      <c r="AB108" s="353">
        <f>IF(BD15&lt;10,0, ($H108))</f>
        <v>0</v>
      </c>
      <c r="AC108" s="352"/>
      <c r="AD108" s="354">
        <f>J108+L108+N108+P108+R108+T108+V108+X108+Z108+AB108</f>
        <v>0</v>
      </c>
      <c r="AI108" s="40"/>
      <c r="AJ108" s="321"/>
      <c r="AK108" s="40"/>
      <c r="AL108" s="321"/>
      <c r="AM108" s="40"/>
      <c r="AN108" s="321"/>
      <c r="AO108" s="40"/>
      <c r="AS108" s="40"/>
      <c r="AT108" s="321"/>
      <c r="AU108" s="40"/>
      <c r="AV108" s="321"/>
      <c r="AW108" s="40"/>
      <c r="AX108" s="321"/>
      <c r="AY108" s="74"/>
      <c r="AZ108" s="321"/>
      <c r="BF108" s="55"/>
      <c r="BJ108" s="55"/>
      <c r="BN108" s="55"/>
      <c r="BR108" s="55"/>
      <c r="BV108" s="55"/>
      <c r="BZ108" s="55"/>
      <c r="CD108" s="55"/>
      <c r="CH108" s="55"/>
      <c r="CL108" s="55"/>
      <c r="CP108" s="55"/>
    </row>
    <row r="109" spans="1:94" outlineLevel="1" x14ac:dyDescent="0.25">
      <c r="A109" s="32" t="s">
        <v>237</v>
      </c>
      <c r="B109" s="10"/>
      <c r="C109" s="13"/>
      <c r="D109" s="73" t="s">
        <v>72</v>
      </c>
      <c r="E109" s="62"/>
      <c r="F109" s="63"/>
      <c r="G109" s="63"/>
      <c r="H109" s="63"/>
      <c r="J109" s="74">
        <f>E109*J108</f>
        <v>0</v>
      </c>
      <c r="L109" s="74">
        <f>IF($BD$15&lt;2,0, IF($BD$100="Yes", (E109*L108)*(1+$BD$10),(E109*L108)))</f>
        <v>0</v>
      </c>
      <c r="M109" s="74"/>
      <c r="N109" s="74">
        <f>IF($BD$15&lt;3,0, IF($BD$100="Yes", (E109*N108)*(1+$BD$10)^2,(E109*N108)))</f>
        <v>0</v>
      </c>
      <c r="O109" s="74"/>
      <c r="P109" s="74">
        <f>IF($BD$15&lt;4,0, IF($BD$100="Yes", (E109*P108)*(1+$BD$10)^3,(E109*P108)))</f>
        <v>0</v>
      </c>
      <c r="Q109" s="74"/>
      <c r="R109" s="74">
        <f>IF($BD$15&lt;5,0, IF($BD$100="Yes", (E109*R108)*(1+$BD$10)^4,(E109*R108)))</f>
        <v>0</v>
      </c>
      <c r="S109" s="74"/>
      <c r="T109" s="74">
        <f>IF($BD$15&lt;6,0, IF($BD$100="Yes", (E109*T108)*(1+$BD$10)^5,(E109*T108)))</f>
        <v>0</v>
      </c>
      <c r="V109" s="74">
        <f>IF($BD$15&lt;7,0, IF($BD$100="Yes", (E109*V108)*(1+$BD$10)^6,(E109*V108)))</f>
        <v>0</v>
      </c>
      <c r="W109" s="74"/>
      <c r="X109" s="74">
        <f>IF($BD$15&lt;8,0, IF($BD$100="Yes", (E109*X108)*(1+$BD$10)^7,(E109*X108)))</f>
        <v>0</v>
      </c>
      <c r="Y109" s="74"/>
      <c r="Z109" s="74">
        <f>IF($BD$15&lt;9,0, IF($BD$100="Yes", (E109*Z108)*(1+$BD$10)^8,(E109*Z108)))</f>
        <v>0</v>
      </c>
      <c r="AA109" s="74"/>
      <c r="AB109" s="74">
        <f>IF($BD$15&lt;10,0, IF($BD$100="Yes", (E109*AB108)*(1+$BD$10)^9,(E109*AB108)))</f>
        <v>0</v>
      </c>
      <c r="AC109" s="74"/>
      <c r="AD109" s="74">
        <f>J109+L109+N109+P109+R109+T109+V109+X109+Z109+AB109</f>
        <v>0</v>
      </c>
      <c r="AF109" s="321">
        <v>0</v>
      </c>
      <c r="AH109" s="321">
        <v>0</v>
      </c>
      <c r="AI109" s="74"/>
      <c r="AJ109" s="321">
        <v>0</v>
      </c>
      <c r="AK109" s="74"/>
      <c r="AL109" s="321">
        <v>0</v>
      </c>
      <c r="AM109" s="74"/>
      <c r="AN109" s="321">
        <v>0</v>
      </c>
      <c r="AO109" s="74"/>
      <c r="AP109" s="321">
        <v>0</v>
      </c>
      <c r="AR109" s="321">
        <v>0</v>
      </c>
      <c r="AS109" s="74"/>
      <c r="AT109" s="321">
        <v>0</v>
      </c>
      <c r="AU109" s="74"/>
      <c r="AV109" s="321">
        <v>0</v>
      </c>
      <c r="AW109" s="74"/>
      <c r="AX109" s="321">
        <v>0</v>
      </c>
      <c r="AY109" s="74"/>
      <c r="AZ109" s="321">
        <f>AF109+AH109+AJ109+AL109+AN109+AP109+AR109+AT109+AV109+AX109</f>
        <v>0</v>
      </c>
      <c r="BF109" s="55"/>
      <c r="BJ109" s="55"/>
      <c r="BN109" s="55"/>
      <c r="BR109" s="55"/>
      <c r="BV109" s="55"/>
      <c r="BZ109" s="55"/>
      <c r="CD109" s="55"/>
      <c r="CH109" s="55"/>
      <c r="CL109" s="55"/>
      <c r="CP109" s="55"/>
    </row>
    <row r="110" spans="1:94" outlineLevel="1" x14ac:dyDescent="0.25">
      <c r="A110" s="32" t="s">
        <v>237</v>
      </c>
      <c r="B110" s="10"/>
      <c r="C110" s="13"/>
      <c r="D110" s="73" t="s">
        <v>80</v>
      </c>
      <c r="E110" s="62"/>
      <c r="F110" s="63"/>
      <c r="G110" s="63"/>
      <c r="H110" s="63"/>
      <c r="J110" s="74">
        <f>E110*F110*J108</f>
        <v>0</v>
      </c>
      <c r="L110" s="74">
        <f>IF($BD$15&lt;2,0, IF($BD$100="Yes", (E110*F110*L108)*(1+$BD$10),(E110*F110*L108)))</f>
        <v>0</v>
      </c>
      <c r="M110" s="40"/>
      <c r="N110" s="74">
        <f>IF($BD$15&lt;3,0, IF($BD$100="Yes", (E110*F110*N108)*(1+$BD$10)^2,(E110*F110*N108)))</f>
        <v>0</v>
      </c>
      <c r="O110" s="40"/>
      <c r="P110" s="74">
        <f>IF($BD$15&lt;4,0, IF($BD$100="Yes", (E110*F110*P108)*(1+$BD$10)^3,(E110*F110*P108)))</f>
        <v>0</v>
      </c>
      <c r="Q110" s="40"/>
      <c r="R110" s="74">
        <f>IF($BD$15&lt;5,0, IF($BD$100="Yes", (E110*F110*R108)*(1+$BD$10)^4,(E110*F110*R108)))</f>
        <v>0</v>
      </c>
      <c r="S110" s="40"/>
      <c r="T110" s="74">
        <f>IF($BD$15&lt;6,0, IF($BD$100="Yes", (E110*F110*T108)*(1+$BD$10)^5,(E110*F110*T108)))</f>
        <v>0</v>
      </c>
      <c r="V110" s="74">
        <f>IF($BD$15&lt;7,0, IF($BD$100="Yes", (E110*F110*V108)*(1+$BD$10)^6,(E110*F110*V108)))</f>
        <v>0</v>
      </c>
      <c r="W110" s="40"/>
      <c r="X110" s="74">
        <f>IF($BD$15&lt;8,0, IF($BD$100="Yes", (E110*F110*X108)*(1+$BD$10)^7,(E110*F110*X108)))</f>
        <v>0</v>
      </c>
      <c r="Y110" s="40"/>
      <c r="Z110" s="74">
        <f>IF($BD$15&lt;9,0, IF($BD$100="Yes", (E110*F110*Z108)*(1+$BD$10)^8,(E110*F110*Z108)))</f>
        <v>0</v>
      </c>
      <c r="AA110" s="40"/>
      <c r="AB110" s="74">
        <f>IF($BD$15&lt;10,0, IF($BD$100="Yes", (E110*F110*AB108)*(1+$BD$10)^9,(E110*F110*AB108)))</f>
        <v>0</v>
      </c>
      <c r="AC110" s="74"/>
      <c r="AD110" s="74">
        <f>J110+L110+N110+P110+R110+T110+V110+X110+Z110+AB110</f>
        <v>0</v>
      </c>
      <c r="AE110" s="74"/>
      <c r="AF110" s="321">
        <v>0</v>
      </c>
      <c r="AH110" s="321">
        <v>0</v>
      </c>
      <c r="AI110" s="40"/>
      <c r="AJ110" s="321">
        <v>0</v>
      </c>
      <c r="AK110" s="40"/>
      <c r="AL110" s="321">
        <v>0</v>
      </c>
      <c r="AM110" s="40"/>
      <c r="AN110" s="321">
        <v>0</v>
      </c>
      <c r="AO110" s="40"/>
      <c r="AP110" s="321">
        <v>0</v>
      </c>
      <c r="AR110" s="321">
        <v>0</v>
      </c>
      <c r="AS110" s="40"/>
      <c r="AT110" s="321">
        <v>0</v>
      </c>
      <c r="AU110" s="40"/>
      <c r="AV110" s="321">
        <v>0</v>
      </c>
      <c r="AW110" s="40"/>
      <c r="AX110" s="321">
        <v>0</v>
      </c>
      <c r="AY110" s="74"/>
      <c r="AZ110" s="321">
        <f>AF110+AH110+AJ110+AL110+AN110+AP110+AR110+AT110+AV110+AX110</f>
        <v>0</v>
      </c>
      <c r="BA110" s="40"/>
      <c r="BF110" s="55"/>
      <c r="BJ110" s="55"/>
      <c r="BN110" s="55"/>
      <c r="BR110" s="55"/>
      <c r="BV110" s="55"/>
      <c r="BZ110" s="55"/>
      <c r="CD110" s="55"/>
      <c r="CH110" s="55"/>
      <c r="CL110" s="55"/>
      <c r="CP110" s="55"/>
    </row>
    <row r="111" spans="1:94" outlineLevel="1" x14ac:dyDescent="0.25">
      <c r="A111" s="32" t="s">
        <v>237</v>
      </c>
      <c r="B111" s="10"/>
      <c r="C111" s="13"/>
      <c r="D111" s="73" t="s">
        <v>260</v>
      </c>
      <c r="E111" s="62"/>
      <c r="F111" s="63"/>
      <c r="G111" s="63"/>
      <c r="H111" s="63"/>
      <c r="J111" s="74">
        <f>E111*F111*J108</f>
        <v>0</v>
      </c>
      <c r="L111" s="74">
        <f>IF($BD$15&lt;2,0, IF($BD$100="Yes", (E111*F111*L108)*(1+$BD$10),(E111*F111*L108)))</f>
        <v>0</v>
      </c>
      <c r="M111" s="40"/>
      <c r="N111" s="74">
        <f>IF($BD$15&lt;3,0, IF($BD$100="Yes", (E111*F111*N108)*(1+$BD$10)^2,(E111*F111*N108)))</f>
        <v>0</v>
      </c>
      <c r="O111" s="40"/>
      <c r="P111" s="74">
        <f>IF($BD$15&lt;4,0, IF($BD$100="Yes", (E111*F111*P108)*(1+$BD$10)^3,(E111*F111*P108)))</f>
        <v>0</v>
      </c>
      <c r="Q111" s="40"/>
      <c r="R111" s="74">
        <f>IF($BD$15&lt;5,0, IF($BD$100="Yes", (E111*F111*R108)*(1+$BD$10)^4,(E111*F111*R108)))</f>
        <v>0</v>
      </c>
      <c r="S111" s="40"/>
      <c r="T111" s="74">
        <f>IF($BD$15&lt;6,0, IF($BD$100="Yes", (E111*F111*T108)*(1+$BD$10)^5,(E111*F111*T108)))</f>
        <v>0</v>
      </c>
      <c r="V111" s="74">
        <f>IF($BD$15&lt;7,0, IF($BD$100="Yes", (E111*F111*V108)*(1+$BD$10)^6,(E111*F111*V108)))</f>
        <v>0</v>
      </c>
      <c r="W111" s="40"/>
      <c r="X111" s="74">
        <f>IF($BD$15&lt;8,0, IF($BD$100="Yes", (E111*F111*X108)*(1+$BD$10)^7,(E111*F111*X108)))</f>
        <v>0</v>
      </c>
      <c r="Y111" s="40"/>
      <c r="Z111" s="74">
        <f>IF($BD$15&lt;9,0, IF($BD$100="Yes", (E111*F111*Z108)*(1+$BD$10)^8,(E111*F111*Z108)))</f>
        <v>0</v>
      </c>
      <c r="AA111" s="40"/>
      <c r="AB111" s="74">
        <f>IF($BD$15&lt;10,0, IF($BD$100="Yes", (E111*F111*AB108)*(1+$BD$10)^9,(E111*F111*AB108)))</f>
        <v>0</v>
      </c>
      <c r="AC111" s="74"/>
      <c r="AD111" s="74">
        <f>J111+L111+N111+P111+R111+T111+V111+X111+Z111+AB111</f>
        <v>0</v>
      </c>
      <c r="AE111" s="74"/>
      <c r="AF111" s="321">
        <v>0</v>
      </c>
      <c r="AH111" s="321">
        <v>0</v>
      </c>
      <c r="AI111" s="40"/>
      <c r="AJ111" s="321">
        <v>0</v>
      </c>
      <c r="AK111" s="40"/>
      <c r="AL111" s="321">
        <v>0</v>
      </c>
      <c r="AM111" s="40"/>
      <c r="AN111" s="321">
        <v>0</v>
      </c>
      <c r="AO111" s="40"/>
      <c r="AP111" s="321">
        <v>0</v>
      </c>
      <c r="AR111" s="321">
        <v>0</v>
      </c>
      <c r="AS111" s="40"/>
      <c r="AT111" s="321">
        <v>0</v>
      </c>
      <c r="AU111" s="40"/>
      <c r="AV111" s="321">
        <v>0</v>
      </c>
      <c r="AW111" s="40"/>
      <c r="AX111" s="321">
        <v>0</v>
      </c>
      <c r="AY111" s="74"/>
      <c r="AZ111" s="321">
        <f>AF111+AH111+AJ111+AL111+AN111+AP111+AR111+AT111+AV111+AX111</f>
        <v>0</v>
      </c>
      <c r="BF111" s="55"/>
      <c r="BJ111" s="55"/>
      <c r="BN111" s="55"/>
      <c r="BR111" s="55"/>
      <c r="BV111" s="55"/>
      <c r="BZ111" s="55"/>
      <c r="CD111" s="55"/>
      <c r="CH111" s="55"/>
      <c r="CL111" s="55"/>
      <c r="CP111" s="55"/>
    </row>
    <row r="112" spans="1:94" outlineLevel="1" x14ac:dyDescent="0.25">
      <c r="A112" s="32" t="s">
        <v>237</v>
      </c>
      <c r="B112" s="10"/>
      <c r="C112" s="13"/>
      <c r="D112" s="73" t="s">
        <v>81</v>
      </c>
      <c r="E112" s="62">
        <v>40</v>
      </c>
      <c r="F112" s="63"/>
      <c r="G112" s="63"/>
      <c r="H112" s="63"/>
      <c r="J112" s="74">
        <f>E112*F112*J108</f>
        <v>0</v>
      </c>
      <c r="L112" s="74">
        <f>IF($BD$15&lt;2,0, IF($BD$100="Yes", (E112*F112*L108)*(1+$BD$10),(E112*F112*L108)))</f>
        <v>0</v>
      </c>
      <c r="M112" s="74"/>
      <c r="N112" s="74">
        <f>IF($BD$15&lt;3,0, IF($BD$100="Yes", (E112*F112*N108)*(1+$BD$10)^2,(E112*F112*N108)))</f>
        <v>0</v>
      </c>
      <c r="O112" s="74"/>
      <c r="P112" s="74">
        <f>IF($BD$15&lt;4,0, IF($BD$100="Yes", (E112*F112*P108)*(1+$BD$10)^3,(E112*F112*P108)))</f>
        <v>0</v>
      </c>
      <c r="Q112" s="74"/>
      <c r="R112" s="74">
        <f>IF($BD$15&lt;5,0, IF($BD$100="Yes", (E112*F112*R108)*(1+$BD$10)^4,(E112*F112*R108)))</f>
        <v>0</v>
      </c>
      <c r="S112" s="74"/>
      <c r="T112" s="74">
        <f>IF($BD$15&lt;6,0, IF($BD$100="Yes", (E112*F112*T108)*(1+$BD$10)^5,(E112*F112*T108)))</f>
        <v>0</v>
      </c>
      <c r="V112" s="74">
        <f>IF($BD$15&lt;7,0, IF($BD$100="Yes", (E112*F112*V108)*(1+$BD$10)^6,(E112*F112*V108)))</f>
        <v>0</v>
      </c>
      <c r="W112" s="74"/>
      <c r="X112" s="74">
        <f>IF($BD$15&lt;8,0, IF($BD$100="Yes", (E112*F112*X108)*(1+$BD$10)^7,(E112*F112*X108)))</f>
        <v>0</v>
      </c>
      <c r="Y112" s="74"/>
      <c r="Z112" s="74">
        <f>IF($BD$15&lt;9,0, IF($BD$100="Yes", (E112*F112*Z108)*(1+$BD$10)^8,(E112*F112*Z108)))</f>
        <v>0</v>
      </c>
      <c r="AA112" s="74"/>
      <c r="AB112" s="74">
        <f>IF($BD$15&lt;10,0, IF($BD$100="Yes", (E112*F112*AB108)*(1+$BD$10)^9,(E112*F112*AB108)))</f>
        <v>0</v>
      </c>
      <c r="AC112" s="74"/>
      <c r="AD112" s="74">
        <f>J112+L112+N112+P112+R112+T112+V112+X112+Z112+AB112</f>
        <v>0</v>
      </c>
      <c r="AE112" s="74"/>
      <c r="AF112" s="321">
        <v>0</v>
      </c>
      <c r="AH112" s="321">
        <v>0</v>
      </c>
      <c r="AI112" s="74"/>
      <c r="AJ112" s="321">
        <v>0</v>
      </c>
      <c r="AK112" s="74"/>
      <c r="AL112" s="321">
        <v>0</v>
      </c>
      <c r="AM112" s="74"/>
      <c r="AN112" s="321">
        <v>0</v>
      </c>
      <c r="AO112" s="74"/>
      <c r="AP112" s="321">
        <v>0</v>
      </c>
      <c r="AR112" s="321">
        <v>0</v>
      </c>
      <c r="AS112" s="74"/>
      <c r="AT112" s="321">
        <v>0</v>
      </c>
      <c r="AU112" s="74"/>
      <c r="AV112" s="321">
        <v>0</v>
      </c>
      <c r="AW112" s="74"/>
      <c r="AX112" s="321">
        <v>0</v>
      </c>
      <c r="AY112" s="74"/>
      <c r="AZ112" s="321">
        <f>AF112+AH112+AJ112+AL112+AN112+AP112+AR112+AT112+AV112+AX112</f>
        <v>0</v>
      </c>
      <c r="BF112" s="55"/>
      <c r="BJ112" s="55"/>
      <c r="BN112" s="55"/>
      <c r="BR112" s="55"/>
      <c r="BV112" s="55"/>
      <c r="BZ112" s="55"/>
      <c r="CD112" s="55"/>
      <c r="CH112" s="55"/>
      <c r="CL112" s="55"/>
      <c r="CP112" s="55"/>
    </row>
    <row r="113" spans="1:94" outlineLevel="1" x14ac:dyDescent="0.25">
      <c r="A113" s="32"/>
      <c r="B113" s="10"/>
      <c r="C113" s="13"/>
      <c r="E113" s="62"/>
      <c r="F113" s="63"/>
      <c r="G113" s="63"/>
      <c r="H113" s="63" t="s">
        <v>389</v>
      </c>
      <c r="M113" s="40"/>
      <c r="N113" s="74"/>
      <c r="O113" s="40"/>
      <c r="P113" s="74"/>
      <c r="Q113" s="40"/>
      <c r="R113" s="74"/>
      <c r="S113" s="40"/>
      <c r="W113" s="40"/>
      <c r="X113" s="74"/>
      <c r="Y113" s="40"/>
      <c r="Z113" s="74"/>
      <c r="AA113" s="40"/>
      <c r="AB113" s="74"/>
      <c r="AC113" s="74"/>
      <c r="AD113" s="74"/>
      <c r="AE113" s="74"/>
      <c r="AI113" s="40"/>
      <c r="AJ113" s="321"/>
      <c r="AK113" s="40"/>
      <c r="AL113" s="321"/>
      <c r="AM113" s="40"/>
      <c r="AN113" s="321"/>
      <c r="AO113" s="40"/>
      <c r="AS113" s="40"/>
      <c r="AT113" s="321"/>
      <c r="AU113" s="40"/>
      <c r="AV113" s="321"/>
      <c r="AW113" s="40"/>
      <c r="AX113" s="321"/>
      <c r="AY113" s="74"/>
      <c r="AZ113" s="321"/>
      <c r="BF113" s="55"/>
      <c r="BJ113" s="55"/>
      <c r="BN113" s="55"/>
      <c r="BR113" s="55"/>
      <c r="BV113" s="55"/>
      <c r="BZ113" s="55"/>
      <c r="CD113" s="55"/>
      <c r="CH113" s="55"/>
      <c r="CL113" s="55"/>
      <c r="CP113" s="55"/>
    </row>
    <row r="114" spans="1:94" outlineLevel="1" x14ac:dyDescent="0.25">
      <c r="A114" s="32"/>
      <c r="B114" s="10"/>
      <c r="C114" s="19" t="s">
        <v>71</v>
      </c>
      <c r="E114" s="62"/>
      <c r="F114" s="63"/>
      <c r="G114" s="63"/>
      <c r="H114" s="363"/>
      <c r="I114" s="352"/>
      <c r="J114" s="353">
        <f>IF(BD15&lt;1,0, ($H114))</f>
        <v>0</v>
      </c>
      <c r="K114" s="352"/>
      <c r="L114" s="353">
        <f>IF(BD15&lt;2,0, ($H114))</f>
        <v>0</v>
      </c>
      <c r="M114" s="352"/>
      <c r="N114" s="353">
        <f>IF(BD15&lt;3,0, ($H114))</f>
        <v>0</v>
      </c>
      <c r="O114" s="352"/>
      <c r="P114" s="353">
        <f>IF(BD15&lt;4,0, ($H114))</f>
        <v>0</v>
      </c>
      <c r="Q114" s="352"/>
      <c r="R114" s="353">
        <f>IF(BD15&lt;5,0, ($H114))</f>
        <v>0</v>
      </c>
      <c r="S114" s="352"/>
      <c r="T114" s="353">
        <f>IF(BD15&lt;6,0, ($H114))</f>
        <v>0</v>
      </c>
      <c r="U114" s="352"/>
      <c r="V114" s="353">
        <f>IF(BD15&lt;7,0, ($H114))</f>
        <v>0</v>
      </c>
      <c r="W114" s="352"/>
      <c r="X114" s="353">
        <f>IF(BD15&lt;8,0, ($H114))</f>
        <v>0</v>
      </c>
      <c r="Y114" s="352"/>
      <c r="Z114" s="353">
        <f>IF(BD15&lt;9,0, ($H114))</f>
        <v>0</v>
      </c>
      <c r="AA114" s="352"/>
      <c r="AB114" s="353">
        <f>IF(BD15&lt;10,0, ($H114))</f>
        <v>0</v>
      </c>
      <c r="AC114" s="352"/>
      <c r="AD114" s="354">
        <f>J114+L114+N114+P114+R114+T114+V114+X114+Z114+AB114</f>
        <v>0</v>
      </c>
      <c r="AI114" s="40"/>
      <c r="AJ114" s="321"/>
      <c r="AK114" s="40"/>
      <c r="AL114" s="321"/>
      <c r="AM114" s="40"/>
      <c r="AN114" s="321"/>
      <c r="AO114" s="40"/>
      <c r="AS114" s="40"/>
      <c r="AT114" s="321"/>
      <c r="AU114" s="40"/>
      <c r="AV114" s="321"/>
      <c r="AW114" s="40"/>
      <c r="AX114" s="321"/>
      <c r="AY114" s="74"/>
      <c r="AZ114" s="321"/>
      <c r="BF114" s="55"/>
      <c r="BJ114" s="55"/>
      <c r="BN114" s="55"/>
      <c r="BR114" s="55"/>
      <c r="BV114" s="55"/>
      <c r="BZ114" s="55"/>
      <c r="CD114" s="55"/>
      <c r="CH114" s="55"/>
      <c r="CL114" s="55"/>
      <c r="CP114" s="55"/>
    </row>
    <row r="115" spans="1:94" outlineLevel="1" x14ac:dyDescent="0.25">
      <c r="A115" s="32" t="s">
        <v>237</v>
      </c>
      <c r="B115" s="10"/>
      <c r="C115" s="13"/>
      <c r="D115" s="73" t="s">
        <v>72</v>
      </c>
      <c r="E115" s="62"/>
      <c r="F115" s="63"/>
      <c r="G115" s="63"/>
      <c r="H115" s="63"/>
      <c r="J115" s="74">
        <f>E115*J114</f>
        <v>0</v>
      </c>
      <c r="L115" s="74">
        <f>IF($BD$15&lt;2,0, IF($BD$100="Yes", (E115*L114)*(1+$BD$10),(E115*L114)))</f>
        <v>0</v>
      </c>
      <c r="M115" s="74"/>
      <c r="N115" s="74">
        <f>IF($BD$15&lt;3,0, IF($BD$100="Yes", (E115*N114)*(1+$BD$10)^2,(E115*N114)))</f>
        <v>0</v>
      </c>
      <c r="O115" s="74"/>
      <c r="P115" s="74">
        <f>IF($BD$15&lt;4,0, IF($BD$100="Yes", (E115*P114)*(1+$BD$10)^3,(E115*P114)))</f>
        <v>0</v>
      </c>
      <c r="Q115" s="74"/>
      <c r="R115" s="74">
        <f>IF($BD$15&lt;5,0, IF($BD$100="Yes", (E115*R114)*(1+$BD$10)^4,(E115*R114)))</f>
        <v>0</v>
      </c>
      <c r="S115" s="74"/>
      <c r="T115" s="74">
        <f>IF($BD$15&lt;6,0, IF($BD$100="Yes", (E115*T114)*(1+$BD$10)^5,(E115*T114)))</f>
        <v>0</v>
      </c>
      <c r="V115" s="74">
        <f>IF($BD$15&lt;7,0, IF($BD$100="Yes", (E115*V114)*(1+$BD$10)^6,(E115*V114)))</f>
        <v>0</v>
      </c>
      <c r="W115" s="74"/>
      <c r="X115" s="74">
        <f>IF($BD$15&lt;8,0, IF($BD$100="Yes", (E115*X114)*(1+$BD$10)^7,(E115*X114)))</f>
        <v>0</v>
      </c>
      <c r="Y115" s="74"/>
      <c r="Z115" s="74">
        <f>IF($BD$15&lt;9,0, IF($BD$100="Yes", (E115*Z114)*(1+$BD$10)^8,(E115*Z114)))</f>
        <v>0</v>
      </c>
      <c r="AA115" s="74"/>
      <c r="AB115" s="74">
        <f>IF($BD$15&lt;10,0, IF($BD$100="Yes", (E115*AB114)*(1+$BD$10)^9,(E115*AB114)))</f>
        <v>0</v>
      </c>
      <c r="AC115" s="74"/>
      <c r="AD115" s="74">
        <f>J115+L115+N115+P115+R115+T115+V115+X115+Z115+AB115</f>
        <v>0</v>
      </c>
      <c r="AF115" s="321">
        <v>0</v>
      </c>
      <c r="AH115" s="321">
        <v>0</v>
      </c>
      <c r="AI115" s="74"/>
      <c r="AJ115" s="321">
        <v>0</v>
      </c>
      <c r="AK115" s="74"/>
      <c r="AL115" s="321">
        <v>0</v>
      </c>
      <c r="AM115" s="74"/>
      <c r="AN115" s="321">
        <v>0</v>
      </c>
      <c r="AO115" s="74"/>
      <c r="AP115" s="321">
        <v>0</v>
      </c>
      <c r="AR115" s="321">
        <v>0</v>
      </c>
      <c r="AS115" s="74"/>
      <c r="AT115" s="321">
        <v>0</v>
      </c>
      <c r="AU115" s="74"/>
      <c r="AV115" s="321">
        <v>0</v>
      </c>
      <c r="AW115" s="74"/>
      <c r="AX115" s="321">
        <v>0</v>
      </c>
      <c r="AY115" s="74"/>
      <c r="AZ115" s="321">
        <f>AF115+AH115+AJ115+AL115+AN115+AP115+AR115+AT115+AV115+AX115</f>
        <v>0</v>
      </c>
      <c r="BF115" s="55"/>
      <c r="BJ115" s="55"/>
      <c r="BN115" s="55"/>
      <c r="BR115" s="55"/>
      <c r="BV115" s="55"/>
      <c r="BZ115" s="55"/>
      <c r="CD115" s="55"/>
      <c r="CH115" s="55"/>
      <c r="CL115" s="55"/>
      <c r="CP115" s="55"/>
    </row>
    <row r="116" spans="1:94" outlineLevel="1" x14ac:dyDescent="0.25">
      <c r="A116" s="32" t="s">
        <v>237</v>
      </c>
      <c r="B116" s="10"/>
      <c r="C116" s="13"/>
      <c r="D116" s="73" t="s">
        <v>80</v>
      </c>
      <c r="E116" s="62"/>
      <c r="F116" s="63"/>
      <c r="G116" s="63"/>
      <c r="H116" s="63"/>
      <c r="J116" s="74">
        <f>E116*F116*J114</f>
        <v>0</v>
      </c>
      <c r="L116" s="74">
        <f>IF($BD$15&lt;2,0, IF($BD$100="Yes", (E116*F116*L114)*(1+$BD$10),(E116*F116*L114)))</f>
        <v>0</v>
      </c>
      <c r="M116" s="40"/>
      <c r="N116" s="74">
        <f>IF($BD$15&lt;3,0, IF($BD$100="Yes", (E116*F116*N114)*(1+$BD$10)^2,(E116*F116*N114)))</f>
        <v>0</v>
      </c>
      <c r="O116" s="40"/>
      <c r="P116" s="74">
        <f>IF($BD$15&lt;4,0, IF($BD$100="Yes", (E116*F116*P114)*(1+$BD$10)^3,(E116*F116*P114)))</f>
        <v>0</v>
      </c>
      <c r="Q116" s="40"/>
      <c r="R116" s="74">
        <f>IF($BD$15&lt;5,0, IF($BD$100="Yes", (E116*F116*R114)*(1+$BD$10)^4,(E116*F116*R114)))</f>
        <v>0</v>
      </c>
      <c r="S116" s="40"/>
      <c r="T116" s="74">
        <f>IF($BD$15&lt;6,0, IF($BD$100="Yes", (E116*F116*T114)*(1+$BD$10)^5,(E116*F116*T114)))</f>
        <v>0</v>
      </c>
      <c r="V116" s="74">
        <f>IF($BD$15&lt;7,0, IF($BD$100="Yes", (E116*F116*V114)*(1+$BD$10)^6,(E116*F116*V114)))</f>
        <v>0</v>
      </c>
      <c r="W116" s="40"/>
      <c r="X116" s="74">
        <f>IF($BD$15&lt;8,0, IF($BD$100="Yes", (E116*F116*X114)*(1+$BD$10)^7,(E116*F116*X114)))</f>
        <v>0</v>
      </c>
      <c r="Y116" s="40"/>
      <c r="Z116" s="74">
        <f>IF($BD$15&lt;9,0, IF($BD$100="Yes", (E116*F116*Z114)*(1+$BD$10)^8,(E116*F116*Z114)))</f>
        <v>0</v>
      </c>
      <c r="AA116" s="40"/>
      <c r="AB116" s="74">
        <f>IF($BD$15&lt;10,0, IF($BD$100="Yes", (E116*F116*AB114)*(1+$BD$10)^9,(E116*F116*AB114)))</f>
        <v>0</v>
      </c>
      <c r="AC116" s="74"/>
      <c r="AD116" s="74">
        <f>J116+L116+N116+P116+R116+T116+V116+X116+Z116+AB116</f>
        <v>0</v>
      </c>
      <c r="AE116" s="74"/>
      <c r="AF116" s="321">
        <v>0</v>
      </c>
      <c r="AH116" s="321">
        <v>0</v>
      </c>
      <c r="AI116" s="40"/>
      <c r="AJ116" s="321">
        <v>0</v>
      </c>
      <c r="AK116" s="40"/>
      <c r="AL116" s="321">
        <v>0</v>
      </c>
      <c r="AM116" s="40"/>
      <c r="AN116" s="321">
        <v>0</v>
      </c>
      <c r="AO116" s="40"/>
      <c r="AP116" s="321">
        <v>0</v>
      </c>
      <c r="AR116" s="321">
        <v>0</v>
      </c>
      <c r="AS116" s="40"/>
      <c r="AT116" s="321">
        <v>0</v>
      </c>
      <c r="AU116" s="40"/>
      <c r="AV116" s="321">
        <v>0</v>
      </c>
      <c r="AW116" s="40"/>
      <c r="AX116" s="321">
        <v>0</v>
      </c>
      <c r="AY116" s="74"/>
      <c r="AZ116" s="321">
        <f>AF116+AH116+AJ116+AL116+AN116+AP116+AR116+AT116+AV116+AX116</f>
        <v>0</v>
      </c>
      <c r="BA116" s="40"/>
      <c r="BF116" s="55"/>
      <c r="BJ116" s="55"/>
      <c r="BN116" s="55"/>
      <c r="BR116" s="55"/>
      <c r="BV116" s="55"/>
      <c r="BZ116" s="55"/>
      <c r="CD116" s="55"/>
      <c r="CH116" s="55"/>
      <c r="CL116" s="55"/>
      <c r="CP116" s="55"/>
    </row>
    <row r="117" spans="1:94" outlineLevel="1" x14ac:dyDescent="0.25">
      <c r="A117" s="32" t="s">
        <v>237</v>
      </c>
      <c r="B117" s="10"/>
      <c r="C117" s="13"/>
      <c r="D117" s="73" t="s">
        <v>260</v>
      </c>
      <c r="E117" s="62"/>
      <c r="F117" s="63"/>
      <c r="G117" s="63"/>
      <c r="H117" s="63"/>
      <c r="J117" s="74">
        <f>E117*F117*J114</f>
        <v>0</v>
      </c>
      <c r="L117" s="74">
        <f>IF($BD$15&lt;2,0, IF($BD$100="Yes", (E117*F117*L114)*(1+$BD$10),(E117*F117*L114)))</f>
        <v>0</v>
      </c>
      <c r="M117" s="40"/>
      <c r="N117" s="74">
        <f>IF($BD$15&lt;3,0, IF($BD$100="Yes", (E117*F117*N114)*(1+$BD$10)^2,(E117*F117*N114)))</f>
        <v>0</v>
      </c>
      <c r="O117" s="40"/>
      <c r="P117" s="74">
        <f>IF($BD$15&lt;4,0, IF($BD$100="Yes", (E117*F117*P114)*(1+$BD$10)^3,(E117*F117*P114)))</f>
        <v>0</v>
      </c>
      <c r="Q117" s="40"/>
      <c r="R117" s="74">
        <f>IF($BD$15&lt;5,0, IF($BD$100="Yes", (E117*F117*R114)*(1+$BD$10)^4,(E117*F117*R114)))</f>
        <v>0</v>
      </c>
      <c r="S117" s="40"/>
      <c r="T117" s="74">
        <f>IF($BD$15&lt;6,0, IF($BD$100="Yes", (E117*F117*T114)*(1+$BD$10)^5,(E117*F117*T114)))</f>
        <v>0</v>
      </c>
      <c r="V117" s="74">
        <f>IF($BD$15&lt;7,0, IF($BD$100="Yes", (E117*F117*V114)*(1+$BD$10)^6,(E117*F117*V114)))</f>
        <v>0</v>
      </c>
      <c r="W117" s="40"/>
      <c r="X117" s="74">
        <f>IF($BD$15&lt;8,0, IF($BD$100="Yes", (E117*F117*X114)*(1+$BD$10)^7,(E117*F117*X114)))</f>
        <v>0</v>
      </c>
      <c r="Y117" s="40"/>
      <c r="Z117" s="74">
        <f>IF($BD$15&lt;9,0, IF($BD$100="Yes", (E117*F117*Z114)*(1+$BD$10)^8,(E117*F117*Z114)))</f>
        <v>0</v>
      </c>
      <c r="AA117" s="40"/>
      <c r="AB117" s="74">
        <f>IF($BD$15&lt;10,0, IF($BD$100="Yes", (E117*F117*AB114)*(1+$BD$10)^9,(E117*F117*AB114)))</f>
        <v>0</v>
      </c>
      <c r="AC117" s="74"/>
      <c r="AD117" s="74">
        <f>J117+L117+N117+P117+R117+T117+V117+X117+Z117+AB117</f>
        <v>0</v>
      </c>
      <c r="AE117" s="74"/>
      <c r="AF117" s="321">
        <v>0</v>
      </c>
      <c r="AH117" s="321">
        <v>0</v>
      </c>
      <c r="AI117" s="40"/>
      <c r="AJ117" s="321">
        <v>0</v>
      </c>
      <c r="AK117" s="40"/>
      <c r="AL117" s="321">
        <v>0</v>
      </c>
      <c r="AM117" s="40"/>
      <c r="AN117" s="321">
        <v>0</v>
      </c>
      <c r="AO117" s="40"/>
      <c r="AP117" s="321">
        <v>0</v>
      </c>
      <c r="AR117" s="321">
        <v>0</v>
      </c>
      <c r="AS117" s="40"/>
      <c r="AT117" s="321">
        <v>0</v>
      </c>
      <c r="AU117" s="40"/>
      <c r="AV117" s="321">
        <v>0</v>
      </c>
      <c r="AW117" s="40"/>
      <c r="AX117" s="321">
        <v>0</v>
      </c>
      <c r="AY117" s="74"/>
      <c r="AZ117" s="321">
        <f>AF117+AH117+AJ117+AL117+AN117+AP117+AR117+AT117+AV117+AX117</f>
        <v>0</v>
      </c>
      <c r="BF117" s="55"/>
      <c r="BJ117" s="55"/>
      <c r="BN117" s="55"/>
      <c r="BR117" s="55"/>
      <c r="BV117" s="55"/>
      <c r="BZ117" s="55"/>
      <c r="CD117" s="55"/>
      <c r="CH117" s="55"/>
      <c r="CL117" s="55"/>
      <c r="CP117" s="55"/>
    </row>
    <row r="118" spans="1:94" outlineLevel="1" x14ac:dyDescent="0.25">
      <c r="A118" s="32" t="s">
        <v>237</v>
      </c>
      <c r="B118" s="10"/>
      <c r="C118" s="13"/>
      <c r="D118" s="73" t="s">
        <v>81</v>
      </c>
      <c r="E118" s="62">
        <v>40</v>
      </c>
      <c r="F118" s="63"/>
      <c r="G118" s="63"/>
      <c r="H118" s="63"/>
      <c r="J118" s="74">
        <f>E118*F118*J114</f>
        <v>0</v>
      </c>
      <c r="L118" s="74">
        <f>IF($BD$15&lt;2,0, IF($BD$100="Yes", (E118*F118*L114)*(1+$BD$10),(E118*F118*L114)))</f>
        <v>0</v>
      </c>
      <c r="M118" s="74"/>
      <c r="N118" s="74">
        <f>IF($BD$15&lt;3,0, IF($BD$100="Yes", (E118*F118*N114)*(1+$BD$10)^2,(E118*F118*N114)))</f>
        <v>0</v>
      </c>
      <c r="O118" s="74"/>
      <c r="P118" s="74">
        <f>IF($BD$15&lt;4,0, IF($BD$100="Yes", (E118*F118*P114)*(1+$BD$10)^3,(E118*F118*P114)))</f>
        <v>0</v>
      </c>
      <c r="Q118" s="74"/>
      <c r="R118" s="74">
        <f>IF($BD$15&lt;5,0, IF($BD$100="Yes", (E118*F118*R114)*(1+$BD$10)^4,(E118*F118*R114)))</f>
        <v>0</v>
      </c>
      <c r="S118" s="74"/>
      <c r="T118" s="74">
        <f>IF($BD$15&lt;6,0, IF($BD$100="Yes", (E118*F118*T114)*(1+$BD$10)^5,(E118*F118*T114)))</f>
        <v>0</v>
      </c>
      <c r="V118" s="74">
        <f>IF($BD$15&lt;7,0, IF($BD$100="Yes", (E118*F118*V114)*(1+$BD$10)^6,(E118*F118*V114)))</f>
        <v>0</v>
      </c>
      <c r="W118" s="74"/>
      <c r="X118" s="74">
        <f>IF($BD$15&lt;8,0, IF($BD$100="Yes", (E118*F118*X114)*(1+$BD$10)^7,(E118*F118*X114)))</f>
        <v>0</v>
      </c>
      <c r="Y118" s="74"/>
      <c r="Z118" s="74">
        <f>IF($BD$15&lt;9,0, IF($BD$100="Yes", (E118*F118*Z114)*(1+$BD$10)^8,(E118*F118*Z114)))</f>
        <v>0</v>
      </c>
      <c r="AA118" s="74"/>
      <c r="AB118" s="74">
        <f>IF($BD$15&lt;10,0, IF($BD$100="Yes", (E118*F118*AB114)*(1+$BD$10)^9,(E118*F118*AB114)))</f>
        <v>0</v>
      </c>
      <c r="AC118" s="74"/>
      <c r="AD118" s="74">
        <f>J118+L118+N118+P118+R118+T118+V118+X118+Z118+AB118</f>
        <v>0</v>
      </c>
      <c r="AE118" s="74"/>
      <c r="AF118" s="321">
        <v>0</v>
      </c>
      <c r="AH118" s="321">
        <v>0</v>
      </c>
      <c r="AI118" s="74"/>
      <c r="AJ118" s="321">
        <v>0</v>
      </c>
      <c r="AK118" s="74"/>
      <c r="AL118" s="321">
        <v>0</v>
      </c>
      <c r="AM118" s="74"/>
      <c r="AN118" s="321">
        <v>0</v>
      </c>
      <c r="AO118" s="74"/>
      <c r="AP118" s="321">
        <v>0</v>
      </c>
      <c r="AR118" s="321">
        <v>0</v>
      </c>
      <c r="AS118" s="74"/>
      <c r="AT118" s="321">
        <v>0</v>
      </c>
      <c r="AU118" s="74"/>
      <c r="AV118" s="321">
        <v>0</v>
      </c>
      <c r="AW118" s="74"/>
      <c r="AX118" s="321">
        <v>0</v>
      </c>
      <c r="AY118" s="74"/>
      <c r="AZ118" s="321">
        <f>AF118+AH118+AJ118+AL118+AN118+AP118+AR118+AT118+AV118+AX118</f>
        <v>0</v>
      </c>
      <c r="BF118" s="55"/>
      <c r="BJ118" s="55"/>
      <c r="BN118" s="55"/>
      <c r="BR118" s="55"/>
      <c r="BV118" s="55"/>
      <c r="BZ118" s="55"/>
      <c r="CD118" s="55"/>
      <c r="CH118" s="55"/>
      <c r="CL118" s="55"/>
      <c r="CP118" s="55"/>
    </row>
    <row r="119" spans="1:94" outlineLevel="1" x14ac:dyDescent="0.25">
      <c r="A119" s="32"/>
      <c r="B119" s="10"/>
      <c r="C119" s="13"/>
      <c r="E119" s="62"/>
      <c r="F119" s="63"/>
      <c r="G119" s="63"/>
      <c r="H119" s="63" t="s">
        <v>389</v>
      </c>
      <c r="M119" s="40"/>
      <c r="N119" s="74"/>
      <c r="O119" s="40"/>
      <c r="P119" s="74"/>
      <c r="Q119" s="40"/>
      <c r="R119" s="74"/>
      <c r="S119" s="40"/>
      <c r="W119" s="40"/>
      <c r="X119" s="74"/>
      <c r="Y119" s="40"/>
      <c r="Z119" s="74"/>
      <c r="AA119" s="40"/>
      <c r="AB119" s="74"/>
      <c r="AC119" s="74"/>
      <c r="AD119" s="74"/>
      <c r="AE119" s="74"/>
      <c r="AI119" s="40"/>
      <c r="AJ119" s="321"/>
      <c r="AK119" s="40"/>
      <c r="AL119" s="321"/>
      <c r="AM119" s="40"/>
      <c r="AN119" s="321"/>
      <c r="AO119" s="40"/>
      <c r="AS119" s="40"/>
      <c r="AT119" s="321"/>
      <c r="AU119" s="40"/>
      <c r="AV119" s="321"/>
      <c r="AW119" s="40"/>
      <c r="AX119" s="321"/>
      <c r="AY119" s="74"/>
      <c r="AZ119" s="321"/>
      <c r="BF119" s="55"/>
      <c r="BJ119" s="55"/>
      <c r="BN119" s="55"/>
      <c r="BR119" s="55"/>
      <c r="BV119" s="55"/>
      <c r="BZ119" s="55"/>
      <c r="CD119" s="55"/>
      <c r="CH119" s="55"/>
      <c r="CL119" s="55"/>
      <c r="CP119" s="55"/>
    </row>
    <row r="120" spans="1:94" outlineLevel="1" x14ac:dyDescent="0.25">
      <c r="A120" s="32"/>
      <c r="B120" s="10"/>
      <c r="C120" s="19" t="s">
        <v>71</v>
      </c>
      <c r="E120" s="62"/>
      <c r="F120" s="63"/>
      <c r="G120" s="63"/>
      <c r="H120" s="363"/>
      <c r="I120" s="352"/>
      <c r="J120" s="353">
        <f>IF(BD15&lt;1,0, ($H120))</f>
        <v>0</v>
      </c>
      <c r="K120" s="352"/>
      <c r="L120" s="353">
        <f>IF(BD15&lt;2,0, ($H120))</f>
        <v>0</v>
      </c>
      <c r="M120" s="352"/>
      <c r="N120" s="353">
        <f>IF(BD15&lt;3,0, ($H120))</f>
        <v>0</v>
      </c>
      <c r="O120" s="352"/>
      <c r="P120" s="353">
        <f>IF(BD15&lt;4,0, ($H120))</f>
        <v>0</v>
      </c>
      <c r="Q120" s="352"/>
      <c r="R120" s="353">
        <f>IF(BD15&lt;5,0, ($H120))</f>
        <v>0</v>
      </c>
      <c r="S120" s="352"/>
      <c r="T120" s="353">
        <f>IF(BD15&lt;6,0, ($H120))</f>
        <v>0</v>
      </c>
      <c r="U120" s="352"/>
      <c r="V120" s="353">
        <f>IF(BD15&lt;7,0, ($H120))</f>
        <v>0</v>
      </c>
      <c r="W120" s="352"/>
      <c r="X120" s="353">
        <f>IF(BD15&lt;8,0, ($H120))</f>
        <v>0</v>
      </c>
      <c r="Y120" s="352"/>
      <c r="Z120" s="353">
        <f>IF(BD15&lt;9,0, ($H120))</f>
        <v>0</v>
      </c>
      <c r="AA120" s="352"/>
      <c r="AB120" s="353">
        <f>IF(BD15&lt;10,0, ($H120))</f>
        <v>0</v>
      </c>
      <c r="AC120" s="352"/>
      <c r="AD120" s="354">
        <f>J120+L120+N120+P120+R120+T120+V120+X120+Z120+AB120</f>
        <v>0</v>
      </c>
      <c r="AI120" s="40"/>
      <c r="AJ120" s="321"/>
      <c r="AK120" s="40"/>
      <c r="AL120" s="321"/>
      <c r="AM120" s="40"/>
      <c r="AN120" s="321"/>
      <c r="AO120" s="40"/>
      <c r="AS120" s="40"/>
      <c r="AT120" s="321"/>
      <c r="AU120" s="40"/>
      <c r="AV120" s="321"/>
      <c r="AW120" s="40"/>
      <c r="AX120" s="321"/>
      <c r="AY120" s="74"/>
      <c r="AZ120" s="321"/>
      <c r="BF120" s="55"/>
      <c r="BJ120" s="55"/>
      <c r="BN120" s="55"/>
      <c r="BR120" s="55"/>
      <c r="BV120" s="55"/>
      <c r="BZ120" s="55"/>
      <c r="CD120" s="55"/>
      <c r="CH120" s="55"/>
      <c r="CL120" s="55"/>
      <c r="CP120" s="55"/>
    </row>
    <row r="121" spans="1:94" outlineLevel="1" x14ac:dyDescent="0.25">
      <c r="A121" s="32" t="s">
        <v>237</v>
      </c>
      <c r="B121" s="10"/>
      <c r="C121" s="13"/>
      <c r="D121" s="73" t="s">
        <v>72</v>
      </c>
      <c r="E121" s="62"/>
      <c r="F121" s="63"/>
      <c r="G121" s="63"/>
      <c r="H121" s="63"/>
      <c r="J121" s="74">
        <f>E121*J120</f>
        <v>0</v>
      </c>
      <c r="L121" s="74">
        <f>IF($BD$15&lt;2,0, IF($BD$100="Yes", (E121*L120)*(1+$BD$10),(E121*L120)))</f>
        <v>0</v>
      </c>
      <c r="M121" s="74"/>
      <c r="N121" s="74">
        <f>IF($BD$15&lt;3,0, IF($BD$100="Yes", (E121*N120)*(1+$BD$10)^2,(E121*N120)))</f>
        <v>0</v>
      </c>
      <c r="O121" s="74"/>
      <c r="P121" s="74">
        <f>IF($BD$15&lt;4,0, IF($BD$100="Yes", (E121*P120)*(1+$BD$10)^3,(E121*P120)))</f>
        <v>0</v>
      </c>
      <c r="Q121" s="74"/>
      <c r="R121" s="74">
        <f>IF($BD$15&lt;5,0, IF($BD$100="Yes", (E121*R120)*(1+$BD$10)^4,(E121*R120)))</f>
        <v>0</v>
      </c>
      <c r="S121" s="74"/>
      <c r="T121" s="74">
        <f>IF($BD$15&lt;6,0, IF($BD$100="Yes", (E121*T120)*(1+$BD$10)^5,(E121*T120)))</f>
        <v>0</v>
      </c>
      <c r="V121" s="74">
        <f>IF($BD$15&lt;7,0, IF($BD$100="Yes", (E121*V120)*(1+$BD$10)^6,(E121*V120)))</f>
        <v>0</v>
      </c>
      <c r="W121" s="74"/>
      <c r="X121" s="74">
        <f>IF($BD$15&lt;8,0, IF($BD$100="Yes", (E121*X120)*(1+$BD$10)^7,(E121*X120)))</f>
        <v>0</v>
      </c>
      <c r="Y121" s="74"/>
      <c r="Z121" s="74">
        <f>IF($BD$15&lt;9,0, IF($BD$100="Yes", (E121*Z120)*(1+$BD$10)^8,(E121*Z120)))</f>
        <v>0</v>
      </c>
      <c r="AA121" s="74"/>
      <c r="AB121" s="74">
        <f>IF($BD$15&lt;10,0, IF($BD$100="Yes", (E121*AB120)*(1+$BD$10)^9,(E121*AB120)))</f>
        <v>0</v>
      </c>
      <c r="AC121" s="74"/>
      <c r="AD121" s="74">
        <f>J121+L121+N121+P121+R121+T121+V121+X121+Z121+AB121</f>
        <v>0</v>
      </c>
      <c r="AF121" s="321">
        <v>0</v>
      </c>
      <c r="AH121" s="321">
        <v>0</v>
      </c>
      <c r="AI121" s="74"/>
      <c r="AJ121" s="321">
        <v>0</v>
      </c>
      <c r="AK121" s="74"/>
      <c r="AL121" s="321">
        <v>0</v>
      </c>
      <c r="AM121" s="74"/>
      <c r="AN121" s="321">
        <v>0</v>
      </c>
      <c r="AO121" s="74"/>
      <c r="AP121" s="321">
        <v>0</v>
      </c>
      <c r="AR121" s="321">
        <v>0</v>
      </c>
      <c r="AS121" s="74"/>
      <c r="AT121" s="321">
        <v>0</v>
      </c>
      <c r="AU121" s="74"/>
      <c r="AV121" s="321">
        <v>0</v>
      </c>
      <c r="AW121" s="74"/>
      <c r="AX121" s="321">
        <v>0</v>
      </c>
      <c r="AY121" s="74"/>
      <c r="AZ121" s="321">
        <f>AF121+AH121+AJ121+AL121+AN121+AP121+AR121+AT121+AV121+AX121</f>
        <v>0</v>
      </c>
      <c r="BF121" s="55"/>
      <c r="BJ121" s="55"/>
      <c r="BN121" s="55"/>
      <c r="BR121" s="55"/>
      <c r="BV121" s="55"/>
      <c r="BZ121" s="55"/>
      <c r="CD121" s="55"/>
      <c r="CH121" s="55"/>
      <c r="CL121" s="55"/>
      <c r="CP121" s="55"/>
    </row>
    <row r="122" spans="1:94" outlineLevel="1" x14ac:dyDescent="0.25">
      <c r="A122" s="32" t="s">
        <v>237</v>
      </c>
      <c r="B122" s="10"/>
      <c r="C122" s="13"/>
      <c r="D122" s="73" t="s">
        <v>80</v>
      </c>
      <c r="E122" s="62"/>
      <c r="F122" s="63"/>
      <c r="G122" s="63"/>
      <c r="H122" s="63"/>
      <c r="J122" s="74">
        <f>E122*F122*J120</f>
        <v>0</v>
      </c>
      <c r="L122" s="74">
        <f>IF($BD$15&lt;2,0, IF($BD$100="Yes", (E122*F122*L120)*(1+$BD$10),(E122*F122*L120)))</f>
        <v>0</v>
      </c>
      <c r="M122" s="40"/>
      <c r="N122" s="74">
        <f>IF($BD$15&lt;3,0, IF($BD$100="Yes", (E122*F122*N120)*(1+$BD$10)^2,(E122*F122*N120)))</f>
        <v>0</v>
      </c>
      <c r="O122" s="40"/>
      <c r="P122" s="74">
        <f>IF($BD$15&lt;4,0, IF($BD$100="Yes", (E122*F122*P120)*(1+$BD$10)^3,(E122*F122*P120)))</f>
        <v>0</v>
      </c>
      <c r="Q122" s="40"/>
      <c r="R122" s="74">
        <f>IF($BD$15&lt;5,0, IF($BD$100="Yes", (E122*F122*R120)*(1+$BD$10)^4,(E122*F122*R120)))</f>
        <v>0</v>
      </c>
      <c r="S122" s="40"/>
      <c r="T122" s="74">
        <f>IF($BD$15&lt;6,0, IF($BD$100="Yes", (E122*F122*T120)*(1+$BD$10)^5,(E122*F122*T120)))</f>
        <v>0</v>
      </c>
      <c r="V122" s="74">
        <f>IF($BD$15&lt;7,0, IF($BD$100="Yes", (E122*F122*V120)*(1+$BD$10)^6,(E122*F122*V120)))</f>
        <v>0</v>
      </c>
      <c r="W122" s="40"/>
      <c r="X122" s="74">
        <f>IF($BD$15&lt;8,0, IF($BD$100="Yes", (E122*F122*X120)*(1+$BD$10)^7,(E122*F122*X120)))</f>
        <v>0</v>
      </c>
      <c r="Y122" s="40"/>
      <c r="Z122" s="74">
        <f>IF($BD$15&lt;9,0, IF($BD$100="Yes", (E122*F122*Z120)*(1+$BD$10)^8,(E122*F122*Z120)))</f>
        <v>0</v>
      </c>
      <c r="AA122" s="40"/>
      <c r="AB122" s="74">
        <f>IF($BD$15&lt;10,0, IF($BD$100="Yes", (E122*F122*AB120)*(1+$BD$10)^9,(E122*F122*AB120)))</f>
        <v>0</v>
      </c>
      <c r="AC122" s="74"/>
      <c r="AD122" s="74">
        <f>J122+L122+N122+P122+R122+T122+V122+X122+Z122+AB122</f>
        <v>0</v>
      </c>
      <c r="AE122" s="74"/>
      <c r="AF122" s="321">
        <v>0</v>
      </c>
      <c r="AH122" s="321">
        <v>0</v>
      </c>
      <c r="AI122" s="40"/>
      <c r="AJ122" s="321">
        <v>0</v>
      </c>
      <c r="AK122" s="40"/>
      <c r="AL122" s="321">
        <v>0</v>
      </c>
      <c r="AM122" s="40"/>
      <c r="AN122" s="321">
        <v>0</v>
      </c>
      <c r="AO122" s="40"/>
      <c r="AP122" s="321">
        <v>0</v>
      </c>
      <c r="AR122" s="321">
        <v>0</v>
      </c>
      <c r="AS122" s="40"/>
      <c r="AT122" s="321">
        <v>0</v>
      </c>
      <c r="AU122" s="40"/>
      <c r="AV122" s="321">
        <v>0</v>
      </c>
      <c r="AW122" s="40"/>
      <c r="AX122" s="321">
        <v>0</v>
      </c>
      <c r="AY122" s="74"/>
      <c r="AZ122" s="321">
        <f>AF122+AH122+AJ122+AL122+AN122+AP122+AR122+AT122+AV122+AX122</f>
        <v>0</v>
      </c>
      <c r="BA122" s="40"/>
      <c r="BF122" s="55"/>
      <c r="BJ122" s="55"/>
      <c r="BN122" s="55"/>
      <c r="BR122" s="55"/>
      <c r="BV122" s="55"/>
      <c r="BZ122" s="55"/>
      <c r="CD122" s="55"/>
      <c r="CH122" s="55"/>
      <c r="CL122" s="55"/>
      <c r="CP122" s="55"/>
    </row>
    <row r="123" spans="1:94" outlineLevel="1" x14ac:dyDescent="0.25">
      <c r="A123" s="32" t="s">
        <v>237</v>
      </c>
      <c r="B123" s="10"/>
      <c r="C123" s="13"/>
      <c r="D123" s="73" t="s">
        <v>260</v>
      </c>
      <c r="E123" s="62"/>
      <c r="F123" s="63"/>
      <c r="G123" s="63"/>
      <c r="H123" s="63"/>
      <c r="J123" s="74">
        <f>E123*F123*J120</f>
        <v>0</v>
      </c>
      <c r="L123" s="74">
        <f>IF($BD$15&lt;2,0, IF($BD$100="Yes", (E123*F123*L120)*(1+$BD$10),(E123*F123*L120)))</f>
        <v>0</v>
      </c>
      <c r="M123" s="40"/>
      <c r="N123" s="74">
        <f>IF($BD$15&lt;3,0, IF($BD$100="Yes", (E123*F123*N120)*(1+$BD$10)^2,(E123*F123*N120)))</f>
        <v>0</v>
      </c>
      <c r="O123" s="40"/>
      <c r="P123" s="74">
        <f>IF($BD$15&lt;4,0, IF($BD$100="Yes", (E123*F123*P120)*(1+$BD$10)^3,(E123*F123*P120)))</f>
        <v>0</v>
      </c>
      <c r="Q123" s="40"/>
      <c r="R123" s="74">
        <f>IF($BD$15&lt;5,0, IF($BD$100="Yes", (E123*F123*R120)*(1+$BD$10)^4,(E123*F123*R120)))</f>
        <v>0</v>
      </c>
      <c r="S123" s="40"/>
      <c r="T123" s="74">
        <f>IF($BD$15&lt;6,0, IF($BD$100="Yes", (E123*F123*T120)*(1+$BD$10)^5,(E123*F123*T120)))</f>
        <v>0</v>
      </c>
      <c r="V123" s="74">
        <f>IF($BD$15&lt;7,0, IF($BD$100="Yes", (E123*F123*V120)*(1+$BD$10)^6,(E123*F123*V120)))</f>
        <v>0</v>
      </c>
      <c r="W123" s="40"/>
      <c r="X123" s="74">
        <f>IF($BD$15&lt;8,0, IF($BD$100="Yes", (E123*F123*X120)*(1+$BD$10)^7,(E123*F123*X120)))</f>
        <v>0</v>
      </c>
      <c r="Y123" s="40"/>
      <c r="Z123" s="74">
        <f>IF($BD$15&lt;9,0, IF($BD$100="Yes", (E123*F123*Z120)*(1+$BD$10)^8,(E123*F123*Z120)))</f>
        <v>0</v>
      </c>
      <c r="AA123" s="40"/>
      <c r="AB123" s="74">
        <f>IF($BD$15&lt;10,0, IF($BD$100="Yes", (E123*F123*AB120)*(1+$BD$10)^9,(E123*F123*AB120)))</f>
        <v>0</v>
      </c>
      <c r="AC123" s="74"/>
      <c r="AD123" s="74">
        <f>J123+L123+N123+P123+R123+T123+V123+X123+Z123+AB123</f>
        <v>0</v>
      </c>
      <c r="AE123" s="74"/>
      <c r="AF123" s="321">
        <v>0</v>
      </c>
      <c r="AH123" s="321">
        <v>0</v>
      </c>
      <c r="AI123" s="40"/>
      <c r="AJ123" s="321">
        <v>0</v>
      </c>
      <c r="AK123" s="40"/>
      <c r="AL123" s="321">
        <v>0</v>
      </c>
      <c r="AM123" s="40"/>
      <c r="AN123" s="321">
        <v>0</v>
      </c>
      <c r="AO123" s="40"/>
      <c r="AP123" s="321">
        <v>0</v>
      </c>
      <c r="AR123" s="321">
        <v>0</v>
      </c>
      <c r="AS123" s="40"/>
      <c r="AT123" s="321">
        <v>0</v>
      </c>
      <c r="AU123" s="40"/>
      <c r="AV123" s="321">
        <v>0</v>
      </c>
      <c r="AW123" s="40"/>
      <c r="AX123" s="321">
        <v>0</v>
      </c>
      <c r="AY123" s="74"/>
      <c r="AZ123" s="321">
        <f>AF123+AH123+AJ123+AL123+AN123+AP123+AR123+AT123+AV123+AX123</f>
        <v>0</v>
      </c>
      <c r="BF123" s="55"/>
      <c r="BJ123" s="55"/>
      <c r="BN123" s="55"/>
      <c r="BR123" s="55"/>
      <c r="BV123" s="55"/>
      <c r="BZ123" s="55"/>
      <c r="CD123" s="55"/>
      <c r="CH123" s="55"/>
      <c r="CL123" s="55"/>
      <c r="CP123" s="55"/>
    </row>
    <row r="124" spans="1:94" outlineLevel="1" x14ac:dyDescent="0.25">
      <c r="A124" s="32" t="s">
        <v>237</v>
      </c>
      <c r="B124" s="10"/>
      <c r="C124" s="13"/>
      <c r="D124" s="73" t="s">
        <v>81</v>
      </c>
      <c r="E124" s="62">
        <v>40</v>
      </c>
      <c r="F124" s="63"/>
      <c r="G124" s="63"/>
      <c r="H124" s="63"/>
      <c r="J124" s="74">
        <f>E124*F124*J120</f>
        <v>0</v>
      </c>
      <c r="L124" s="74">
        <f>IF($BD$15&lt;2,0, IF($BD$100="Yes", (E124*F124*L120)*(1+$BD$10),(E124*F124*L120)))</f>
        <v>0</v>
      </c>
      <c r="M124" s="74"/>
      <c r="N124" s="74">
        <f>IF($BD$15&lt;3,0, IF($BD$100="Yes", (E124*F124*N120)*(1+$BD$10)^2,(E124*F124*N120)))</f>
        <v>0</v>
      </c>
      <c r="O124" s="74"/>
      <c r="P124" s="74">
        <f>IF($BD$15&lt;4,0, IF($BD$100="Yes", (E124*F124*P120)*(1+$BD$10)^3,(E124*F124*P120)))</f>
        <v>0</v>
      </c>
      <c r="Q124" s="74"/>
      <c r="R124" s="74">
        <f>IF($BD$15&lt;5,0, IF($BD$100="Yes", (E124*F124*R120)*(1+$BD$10)^4,(E124*F124*R120)))</f>
        <v>0</v>
      </c>
      <c r="S124" s="74"/>
      <c r="T124" s="74">
        <f>IF($BD$15&lt;6,0, IF($BD$100="Yes", (E124*F124*T120)*(1+$BD$10)^5,(E124*F124*T120)))</f>
        <v>0</v>
      </c>
      <c r="V124" s="74">
        <f>IF($BD$15&lt;7,0, IF($BD$100="Yes", (E124*F124*V120)*(1+$BD$10)^6,(E124*F124*V120)))</f>
        <v>0</v>
      </c>
      <c r="W124" s="74"/>
      <c r="X124" s="74">
        <f>IF($BD$15&lt;8,0, IF($BD$100="Yes", (E124*F124*X120)*(1+$BD$10)^7,(E124*F124*X120)))</f>
        <v>0</v>
      </c>
      <c r="Y124" s="74"/>
      <c r="Z124" s="74">
        <f>IF($BD$15&lt;9,0, IF($BD$100="Yes", (E124*F124*Z120)*(1+$BD$10)^8,(E124*F124*Z120)))</f>
        <v>0</v>
      </c>
      <c r="AA124" s="74"/>
      <c r="AB124" s="74">
        <f>IF($BD$15&lt;10,0, IF($BD$100="Yes", (E124*F124*AB120)*(1+$BD$10)^9,(E124*F124*AB120)))</f>
        <v>0</v>
      </c>
      <c r="AC124" s="74"/>
      <c r="AD124" s="74">
        <f>J124+L124+N124+P124+R124+T124+V124+X124+Z124+AB124</f>
        <v>0</v>
      </c>
      <c r="AE124" s="74"/>
      <c r="AF124" s="321">
        <v>0</v>
      </c>
      <c r="AH124" s="321">
        <v>0</v>
      </c>
      <c r="AI124" s="74"/>
      <c r="AJ124" s="321">
        <v>0</v>
      </c>
      <c r="AK124" s="74"/>
      <c r="AL124" s="321">
        <v>0</v>
      </c>
      <c r="AM124" s="74"/>
      <c r="AN124" s="321">
        <v>0</v>
      </c>
      <c r="AO124" s="74"/>
      <c r="AP124" s="321">
        <v>0</v>
      </c>
      <c r="AR124" s="321">
        <v>0</v>
      </c>
      <c r="AS124" s="74"/>
      <c r="AT124" s="321">
        <v>0</v>
      </c>
      <c r="AU124" s="74"/>
      <c r="AV124" s="321">
        <v>0</v>
      </c>
      <c r="AW124" s="74"/>
      <c r="AX124" s="321">
        <v>0</v>
      </c>
      <c r="AY124" s="74"/>
      <c r="AZ124" s="321">
        <f>AF124+AH124+AJ124+AL124+AN124+AP124+AR124+AT124+AV124+AX124</f>
        <v>0</v>
      </c>
      <c r="BF124" s="55"/>
      <c r="BJ124" s="55"/>
      <c r="BN124" s="55"/>
      <c r="BR124" s="55"/>
      <c r="BV124" s="55"/>
      <c r="BZ124" s="55"/>
      <c r="CD124" s="55"/>
      <c r="CH124" s="55"/>
      <c r="CL124" s="55"/>
      <c r="CP124" s="55"/>
    </row>
    <row r="125" spans="1:94" outlineLevel="1" x14ac:dyDescent="0.25">
      <c r="A125" s="32"/>
      <c r="B125" s="10"/>
      <c r="E125" s="62"/>
      <c r="F125" s="63"/>
      <c r="G125" s="63"/>
      <c r="H125" s="63" t="s">
        <v>391</v>
      </c>
      <c r="M125" s="40"/>
      <c r="N125" s="74"/>
      <c r="O125" s="40"/>
      <c r="P125" s="74"/>
      <c r="Q125" s="40"/>
      <c r="R125" s="74"/>
      <c r="S125" s="40"/>
      <c r="W125" s="40"/>
      <c r="X125" s="74"/>
      <c r="Y125" s="40"/>
      <c r="Z125" s="74"/>
      <c r="AA125" s="40"/>
      <c r="AB125" s="74"/>
      <c r="AC125" s="74"/>
      <c r="AD125" s="74"/>
      <c r="AE125" s="74"/>
      <c r="AI125" s="40"/>
      <c r="AJ125" s="321"/>
      <c r="AK125" s="40"/>
      <c r="AL125" s="321"/>
      <c r="AM125" s="40"/>
      <c r="AN125" s="321"/>
      <c r="AO125" s="40"/>
      <c r="AS125" s="40"/>
      <c r="AT125" s="321"/>
      <c r="AU125" s="40"/>
      <c r="AV125" s="321"/>
      <c r="AW125" s="40"/>
      <c r="AX125" s="321"/>
      <c r="AY125" s="74"/>
      <c r="AZ125" s="321"/>
      <c r="BF125" s="55"/>
      <c r="BJ125" s="55"/>
      <c r="BN125" s="55"/>
      <c r="BR125" s="55"/>
      <c r="BV125" s="55"/>
      <c r="BZ125" s="55"/>
      <c r="CD125" s="55"/>
      <c r="CH125" s="55"/>
      <c r="CL125" s="55"/>
      <c r="CP125" s="55"/>
    </row>
    <row r="126" spans="1:94" outlineLevel="1" x14ac:dyDescent="0.25">
      <c r="A126" s="32"/>
      <c r="B126" s="10"/>
      <c r="C126" s="19" t="s">
        <v>48</v>
      </c>
      <c r="D126" s="13"/>
      <c r="E126" s="62" t="s">
        <v>70</v>
      </c>
      <c r="F126" s="63" t="s">
        <v>216</v>
      </c>
      <c r="G126" s="63"/>
      <c r="H126" s="363"/>
      <c r="I126" s="352"/>
      <c r="J126" s="353">
        <f>IF(BD15&lt;1,0, ($H126))</f>
        <v>0</v>
      </c>
      <c r="K126" s="352"/>
      <c r="L126" s="353">
        <f>IF(BD15&lt;2,0, ($H126))</f>
        <v>0</v>
      </c>
      <c r="M126" s="352"/>
      <c r="N126" s="353">
        <f>IF(BD15&lt;3,0, ($H126))</f>
        <v>0</v>
      </c>
      <c r="O126" s="352"/>
      <c r="P126" s="353">
        <f>IF(BD15&lt;4,0, ($H126))</f>
        <v>0</v>
      </c>
      <c r="Q126" s="352"/>
      <c r="R126" s="353">
        <f>IF(BD15&lt;5,0, ($H126))</f>
        <v>0</v>
      </c>
      <c r="S126" s="352"/>
      <c r="T126" s="353">
        <f>IF(BD15&lt;6,0, ($H126))</f>
        <v>0</v>
      </c>
      <c r="U126" s="352"/>
      <c r="V126" s="353">
        <f>IF(BD15&lt;7,0, ($H126))</f>
        <v>0</v>
      </c>
      <c r="W126" s="352"/>
      <c r="X126" s="353">
        <f>IF(BD15&lt;8,0, ($H126))</f>
        <v>0</v>
      </c>
      <c r="Y126" s="352"/>
      <c r="Z126" s="353">
        <f>IF(BD15&lt;9,0, ($H126))</f>
        <v>0</v>
      </c>
      <c r="AA126" s="352"/>
      <c r="AB126" s="353">
        <f>IF(BD15&lt;10,0, ($H126))</f>
        <v>0</v>
      </c>
      <c r="AC126" s="352"/>
      <c r="AD126" s="354">
        <f>J126+L126+N126+P126+R126+T126+V126+X126+Z126+AB126</f>
        <v>0</v>
      </c>
      <c r="AE126" s="74"/>
      <c r="AI126" s="40"/>
      <c r="AJ126" s="321"/>
      <c r="AK126" s="40"/>
      <c r="AL126" s="321"/>
      <c r="AM126" s="40"/>
      <c r="AN126" s="321"/>
      <c r="AO126" s="40"/>
      <c r="AS126" s="40"/>
      <c r="AT126" s="321"/>
      <c r="AU126" s="40"/>
      <c r="AV126" s="321"/>
      <c r="AW126" s="40"/>
      <c r="AX126" s="321"/>
      <c r="AY126" s="74"/>
      <c r="AZ126" s="321"/>
      <c r="BF126" s="55"/>
      <c r="BJ126" s="55"/>
      <c r="BN126" s="55"/>
      <c r="BR126" s="55"/>
      <c r="BV126" s="55"/>
      <c r="BZ126" s="55"/>
      <c r="CD126" s="55"/>
      <c r="CH126" s="55"/>
      <c r="CL126" s="55"/>
      <c r="CP126" s="55"/>
    </row>
    <row r="127" spans="1:94" outlineLevel="1" x14ac:dyDescent="0.25">
      <c r="A127" s="32" t="s">
        <v>237</v>
      </c>
      <c r="B127" s="10"/>
      <c r="C127" s="13"/>
      <c r="D127" s="13" t="s">
        <v>71</v>
      </c>
      <c r="E127" s="70">
        <v>0.63</v>
      </c>
      <c r="F127" s="63"/>
      <c r="G127" s="63"/>
      <c r="H127" s="63"/>
      <c r="I127" s="24"/>
      <c r="J127" s="74">
        <f>E127*F127*J126</f>
        <v>0</v>
      </c>
      <c r="L127" s="74">
        <f>IF($BD$15&lt;2,0,IF($BD$100="Yes",(E127*F127*L126)*(1+$BD$10),(E127*F127*L126)))</f>
        <v>0</v>
      </c>
      <c r="M127" s="40"/>
      <c r="N127" s="74">
        <f>IF($BD$15&lt;3,0, IF($BD$100="Yes", (E127*F127*N126)*(1+$BD$10)^2,(E127*F127*N126)))</f>
        <v>0</v>
      </c>
      <c r="O127" s="40"/>
      <c r="P127" s="74">
        <f>IF($BD$15&lt;4,0, IF($BD$100="Yes", (E127*F127*P126)*(1+$BD$10)^3,(E127*F127*P126)))</f>
        <v>0</v>
      </c>
      <c r="Q127" s="40"/>
      <c r="R127" s="74">
        <f>IF($BD$15&lt;5,0, IF($BD$100="Yes", (E127*F127*R126)*(1+$BD$10)^4,(E127*F127*R126)))</f>
        <v>0</v>
      </c>
      <c r="S127" s="40"/>
      <c r="T127" s="74">
        <f>IF($BD$15&lt;6,0, IF($BD$100="Yes", (E127*F127*T126)*(1+$BD$10)^5,(E127*F127*T126)))</f>
        <v>0</v>
      </c>
      <c r="V127" s="74">
        <f>IF($BD$15&lt;7,0, IF($BD$100="Yes", (E127*F127*V126)*(1+$BD$10)^6,(E127*F127*V126)))</f>
        <v>0</v>
      </c>
      <c r="W127" s="40"/>
      <c r="X127" s="74">
        <f>IF($BD$15&lt;8,0, IF($BD$100="Yes", (E127*F127*X126)*(1+$BD$10)^7,(E127*F127*X126)))</f>
        <v>0</v>
      </c>
      <c r="Y127" s="40"/>
      <c r="Z127" s="74">
        <f>IF($BD$15&lt;9,0, IF($BD$100="Yes", (E127*F127*Z126)*(1+$BD$10)^8,(E127*F127*Z126)))</f>
        <v>0</v>
      </c>
      <c r="AA127" s="40"/>
      <c r="AB127" s="74">
        <f>IF($BD$15&lt;10,0, IF($BD$100="Yes", (E127*F127*AB126)*(1+$BD$10)^9,(E127*F127*AB126)))</f>
        <v>0</v>
      </c>
      <c r="AC127" s="74"/>
      <c r="AD127" s="74">
        <f>J127+L127+N127+P127+R127+T127+V127+X127+Z127+AB127</f>
        <v>0</v>
      </c>
      <c r="AE127" s="74"/>
      <c r="AF127" s="321">
        <v>0</v>
      </c>
      <c r="AH127" s="321">
        <v>0</v>
      </c>
      <c r="AI127" s="40"/>
      <c r="AJ127" s="321">
        <v>0</v>
      </c>
      <c r="AK127" s="40"/>
      <c r="AL127" s="321">
        <v>0</v>
      </c>
      <c r="AM127" s="40"/>
      <c r="AN127" s="321">
        <v>0</v>
      </c>
      <c r="AO127" s="40"/>
      <c r="AP127" s="321">
        <v>0</v>
      </c>
      <c r="AR127" s="321">
        <v>0</v>
      </c>
      <c r="AS127" s="40"/>
      <c r="AT127" s="321">
        <v>0</v>
      </c>
      <c r="AU127" s="40"/>
      <c r="AV127" s="321">
        <v>0</v>
      </c>
      <c r="AW127" s="40"/>
      <c r="AX127" s="321">
        <v>0</v>
      </c>
      <c r="AY127" s="74"/>
      <c r="AZ127" s="321">
        <f>AF127+AH127+AJ127+AL127+AN127+AP127+AR127+AT127+AV127+AX127</f>
        <v>0</v>
      </c>
      <c r="BF127" s="55"/>
      <c r="BJ127" s="55"/>
      <c r="BN127" s="55"/>
      <c r="BR127" s="55"/>
      <c r="BV127" s="55"/>
      <c r="BZ127" s="55"/>
      <c r="CD127" s="55"/>
      <c r="CH127" s="55"/>
      <c r="CL127" s="55"/>
      <c r="CP127" s="55"/>
    </row>
    <row r="128" spans="1:94" outlineLevel="1" x14ac:dyDescent="0.25">
      <c r="A128" s="32"/>
      <c r="B128" s="10"/>
      <c r="C128" s="13"/>
      <c r="D128" s="13"/>
      <c r="E128" s="70"/>
      <c r="F128" s="63"/>
      <c r="G128" s="63"/>
      <c r="H128" s="63"/>
      <c r="I128" s="24"/>
      <c r="M128" s="40"/>
      <c r="N128" s="74"/>
      <c r="O128" s="40"/>
      <c r="P128" s="74"/>
      <c r="Q128" s="40"/>
      <c r="R128" s="74"/>
      <c r="S128" s="40"/>
      <c r="W128" s="40"/>
      <c r="X128" s="74"/>
      <c r="Y128" s="40"/>
      <c r="Z128" s="74"/>
      <c r="AA128" s="40"/>
      <c r="AB128" s="74"/>
      <c r="AC128" s="74"/>
      <c r="AD128" s="74"/>
      <c r="AE128" s="74"/>
      <c r="AI128" s="40"/>
      <c r="AJ128" s="321"/>
      <c r="AK128" s="40"/>
      <c r="AL128" s="321"/>
      <c r="AM128" s="40"/>
      <c r="AN128" s="321"/>
      <c r="AO128" s="40"/>
      <c r="AS128" s="40"/>
      <c r="AT128" s="321"/>
      <c r="AU128" s="40"/>
      <c r="AV128" s="321"/>
      <c r="AW128" s="40"/>
      <c r="AX128" s="321"/>
      <c r="AY128" s="74"/>
      <c r="AZ128" s="321"/>
      <c r="BF128" s="55"/>
      <c r="BJ128" s="55"/>
      <c r="BN128" s="55"/>
      <c r="BR128" s="55"/>
      <c r="BV128" s="55"/>
      <c r="BZ128" s="55"/>
      <c r="CD128" s="55"/>
      <c r="CH128" s="55"/>
      <c r="CL128" s="55"/>
      <c r="CP128" s="55"/>
    </row>
    <row r="129" spans="1:94" x14ac:dyDescent="0.25">
      <c r="A129" s="32"/>
      <c r="B129" s="10"/>
      <c r="C129" s="13"/>
      <c r="E129" s="64"/>
      <c r="G129" s="58"/>
      <c r="H129" s="60" t="s">
        <v>46</v>
      </c>
      <c r="I129" s="24"/>
      <c r="J129" s="60">
        <f>SUMIF(A102:A128,Hidden_Lookups!A20,J102:J128)</f>
        <v>0</v>
      </c>
      <c r="K129" s="60"/>
      <c r="L129" s="60">
        <f>SUMIF(A102:A128,Hidden_Lookups!A20,L102:L128)</f>
        <v>0</v>
      </c>
      <c r="M129" s="60"/>
      <c r="N129" s="60">
        <f>SUMIF(A102:A128,Hidden_Lookups!A20,N102:N128)</f>
        <v>0</v>
      </c>
      <c r="O129" s="60"/>
      <c r="P129" s="60">
        <f>SUMIF(A102:A128,Hidden_Lookups!A20,P102:P128)</f>
        <v>0</v>
      </c>
      <c r="Q129" s="60"/>
      <c r="R129" s="60">
        <f>SUMIF(A102:A128,Hidden_Lookups!A20,R102:R128)</f>
        <v>0</v>
      </c>
      <c r="S129" s="60"/>
      <c r="T129" s="60">
        <f>SUMIF(A102:A128,Hidden_Lookups!A20,T102:T128)</f>
        <v>0</v>
      </c>
      <c r="U129" s="60"/>
      <c r="V129" s="60">
        <f>SUMIF(A102:A128,Hidden_Lookups!A20,V102:V128)</f>
        <v>0</v>
      </c>
      <c r="W129" s="60"/>
      <c r="X129" s="60">
        <f>SUMIF(A102:A128,Hidden_Lookups!A20,X102:X128)</f>
        <v>0</v>
      </c>
      <c r="Y129" s="60"/>
      <c r="Z129" s="60">
        <f>SUMIF(A102:A128,Hidden_Lookups!A20,Z102:Z128)</f>
        <v>0</v>
      </c>
      <c r="AA129" s="60"/>
      <c r="AB129" s="60">
        <f>SUMIF(A102:A128,Hidden_Lookups!A20,AB102:AB128)</f>
        <v>0</v>
      </c>
      <c r="AC129" s="60"/>
      <c r="AD129" s="60">
        <f>J129+L129+N129+P129+R129+T129+V129+X129+Z129+AB129</f>
        <v>0</v>
      </c>
      <c r="AE129" s="24"/>
      <c r="AF129" s="325">
        <f>SUM(AF101:AF128)</f>
        <v>0</v>
      </c>
      <c r="AG129" s="60"/>
      <c r="AH129" s="325">
        <f>SUM(AH101:AH128)</f>
        <v>0</v>
      </c>
      <c r="AI129" s="58"/>
      <c r="AJ129" s="325">
        <f>SUM(AJ101:AJ128)</f>
        <v>0</v>
      </c>
      <c r="AK129" s="58"/>
      <c r="AL129" s="325">
        <f>SUM(AL101:AL128)</f>
        <v>0</v>
      </c>
      <c r="AM129" s="58"/>
      <c r="AN129" s="325">
        <f>SUM(AN101:AN128)</f>
        <v>0</v>
      </c>
      <c r="AO129" s="58"/>
      <c r="AP129" s="325">
        <f>SUM(AP101:AP128)</f>
        <v>0</v>
      </c>
      <c r="AQ129" s="60"/>
      <c r="AR129" s="325">
        <f>SUM(AR101:AR128)</f>
        <v>0</v>
      </c>
      <c r="AS129" s="58"/>
      <c r="AT129" s="325">
        <f>SUM(AT101:AT128)</f>
        <v>0</v>
      </c>
      <c r="AU129" s="58"/>
      <c r="AV129" s="325">
        <f>SUM(AV101:AV128)</f>
        <v>0</v>
      </c>
      <c r="AW129" s="58"/>
      <c r="AX129" s="325">
        <f>SUM(AX101:AX128)</f>
        <v>0</v>
      </c>
      <c r="AY129" s="60"/>
      <c r="AZ129" s="325">
        <f>AF129+AH129+AJ129+AL129+AN129+AP129+AR129+AT129+AV129+AX129</f>
        <v>0</v>
      </c>
      <c r="BF129" s="55"/>
      <c r="BJ129" s="55"/>
      <c r="BN129" s="55"/>
      <c r="BR129" s="55"/>
      <c r="BV129" s="55"/>
      <c r="BZ129" s="55"/>
      <c r="CD129" s="55"/>
      <c r="CH129" s="55"/>
      <c r="CL129" s="55"/>
      <c r="CP129" s="55"/>
    </row>
    <row r="130" spans="1:94" x14ac:dyDescent="0.25">
      <c r="A130" s="32"/>
      <c r="B130" s="10"/>
      <c r="C130" s="13"/>
      <c r="E130" s="64"/>
      <c r="G130" s="58"/>
      <c r="H130" s="60"/>
      <c r="I130" s="24"/>
      <c r="J130" s="60"/>
      <c r="K130" s="60"/>
      <c r="L130" s="60"/>
      <c r="M130" s="58"/>
      <c r="N130" s="60"/>
      <c r="O130" s="58"/>
      <c r="P130" s="60"/>
      <c r="Q130" s="58"/>
      <c r="R130" s="60"/>
      <c r="S130" s="58"/>
      <c r="T130" s="60"/>
      <c r="U130" s="60"/>
      <c r="V130" s="60"/>
      <c r="W130" s="58"/>
      <c r="X130" s="60"/>
      <c r="Y130" s="58"/>
      <c r="Z130" s="60"/>
      <c r="AA130" s="58"/>
      <c r="AB130" s="60"/>
      <c r="AC130" s="60"/>
      <c r="AD130" s="74"/>
      <c r="AE130" s="24"/>
      <c r="AF130" s="325"/>
      <c r="AG130" s="60"/>
      <c r="AH130" s="325"/>
      <c r="AI130" s="58"/>
      <c r="AJ130" s="325"/>
      <c r="AK130" s="58"/>
      <c r="AL130" s="325"/>
      <c r="AM130" s="58"/>
      <c r="AN130" s="325"/>
      <c r="AO130" s="58"/>
      <c r="AP130" s="325"/>
      <c r="AQ130" s="60"/>
      <c r="AR130" s="325"/>
      <c r="AS130" s="58"/>
      <c r="AT130" s="325"/>
      <c r="AU130" s="58"/>
      <c r="AV130" s="325"/>
      <c r="AW130" s="58"/>
      <c r="AX130" s="325"/>
      <c r="AY130" s="60"/>
      <c r="AZ130" s="321"/>
      <c r="BF130" s="55"/>
      <c r="BJ130" s="55"/>
      <c r="BN130" s="55"/>
      <c r="BR130" s="55"/>
      <c r="BV130" s="55"/>
      <c r="BZ130" s="55"/>
      <c r="CD130" s="55"/>
      <c r="CH130" s="55"/>
      <c r="CL130" s="55"/>
      <c r="CP130" s="55"/>
    </row>
    <row r="131" spans="1:94" outlineLevel="1" x14ac:dyDescent="0.25">
      <c r="A131" s="32"/>
      <c r="B131" s="10"/>
      <c r="C131" s="12" t="s">
        <v>29</v>
      </c>
      <c r="E131" s="62" t="s">
        <v>70</v>
      </c>
      <c r="F131" s="63" t="s">
        <v>69</v>
      </c>
      <c r="G131" s="63"/>
      <c r="H131" s="63" t="s">
        <v>389</v>
      </c>
      <c r="M131" s="40"/>
      <c r="N131" s="74"/>
      <c r="O131" s="40"/>
      <c r="P131" s="74"/>
      <c r="Q131" s="40"/>
      <c r="R131" s="74"/>
      <c r="S131" s="40"/>
      <c r="W131" s="40"/>
      <c r="X131" s="74"/>
      <c r="Y131" s="40"/>
      <c r="Z131" s="74"/>
      <c r="AA131" s="40"/>
      <c r="AB131" s="74"/>
      <c r="AC131" s="74"/>
      <c r="AD131" s="74"/>
      <c r="AE131" s="24"/>
      <c r="AI131" s="40"/>
      <c r="AJ131" s="321"/>
      <c r="AK131" s="40"/>
      <c r="AL131" s="321"/>
      <c r="AM131" s="40"/>
      <c r="AN131" s="321"/>
      <c r="AO131" s="40"/>
      <c r="AS131" s="40"/>
      <c r="AT131" s="321"/>
      <c r="AU131" s="40"/>
      <c r="AV131" s="321"/>
      <c r="AW131" s="40"/>
      <c r="AX131" s="321"/>
      <c r="AY131" s="74"/>
      <c r="AZ131" s="321"/>
      <c r="BF131" s="55"/>
      <c r="BJ131" s="55"/>
      <c r="BN131" s="55"/>
      <c r="BR131" s="55"/>
      <c r="BV131" s="55"/>
      <c r="BZ131" s="55"/>
      <c r="CD131" s="55"/>
      <c r="CH131" s="55"/>
      <c r="CL131" s="55"/>
      <c r="CP131" s="55"/>
    </row>
    <row r="132" spans="1:94" outlineLevel="1" x14ac:dyDescent="0.25">
      <c r="A132" s="32"/>
      <c r="B132" s="10"/>
      <c r="C132" s="19" t="s">
        <v>71</v>
      </c>
      <c r="E132" s="62"/>
      <c r="F132" s="63"/>
      <c r="G132" s="63"/>
      <c r="H132" s="363"/>
      <c r="J132" s="356">
        <f>IF(BD15&lt;1,0, ($H132))</f>
        <v>0</v>
      </c>
      <c r="K132" s="355"/>
      <c r="L132" s="356">
        <f>IF(BD15&lt;2,0, ($H132))</f>
        <v>0</v>
      </c>
      <c r="M132" s="355"/>
      <c r="N132" s="356">
        <f>IF(BD15&lt;3,0, ($H132))</f>
        <v>0</v>
      </c>
      <c r="O132" s="355"/>
      <c r="P132" s="356">
        <f>IF(BD15&lt;4,0, ($H132))</f>
        <v>0</v>
      </c>
      <c r="Q132" s="355"/>
      <c r="R132" s="356">
        <f>IF(BD15&lt;5,0, ($H132))</f>
        <v>0</v>
      </c>
      <c r="S132" s="355"/>
      <c r="T132" s="356">
        <f>IF(BD15&lt;6,0, ($H132))</f>
        <v>0</v>
      </c>
      <c r="U132" s="355"/>
      <c r="V132" s="356">
        <f>IF(BD15&lt;7,0, ($H132))</f>
        <v>0</v>
      </c>
      <c r="W132" s="355"/>
      <c r="X132" s="356">
        <f>IF(BD15&lt;8,0, ($H132))</f>
        <v>0</v>
      </c>
      <c r="Y132" s="355"/>
      <c r="Z132" s="356">
        <f>IF(BD15&lt;9,0, ($H132))</f>
        <v>0</v>
      </c>
      <c r="AA132" s="355"/>
      <c r="AB132" s="356">
        <f>IF(BD15&lt;10,0, ($H132))</f>
        <v>0</v>
      </c>
      <c r="AC132" s="355"/>
      <c r="AD132" s="357">
        <f>J132+L132+N132+P132+R132+T132+V132+X132+Z132+AB132</f>
        <v>0</v>
      </c>
      <c r="AE132" s="74"/>
      <c r="AI132" s="40"/>
      <c r="AJ132" s="321"/>
      <c r="AK132" s="40"/>
      <c r="AL132" s="321"/>
      <c r="AM132" s="40"/>
      <c r="AN132" s="85"/>
      <c r="AO132" s="40"/>
      <c r="AS132" s="40"/>
      <c r="AT132" s="321"/>
      <c r="AU132" s="40"/>
      <c r="AV132" s="321"/>
      <c r="AW132" s="40"/>
      <c r="AX132" s="85"/>
      <c r="AY132" s="40"/>
      <c r="AZ132" s="321"/>
      <c r="BF132" s="55"/>
      <c r="BJ132" s="55"/>
      <c r="BN132" s="55"/>
      <c r="BR132" s="55"/>
      <c r="BV132" s="55"/>
      <c r="BZ132" s="55"/>
      <c r="CD132" s="55"/>
      <c r="CH132" s="55"/>
      <c r="CL132" s="55"/>
      <c r="CP132" s="55"/>
    </row>
    <row r="133" spans="1:94" outlineLevel="1" x14ac:dyDescent="0.25">
      <c r="A133" s="32" t="s">
        <v>238</v>
      </c>
      <c r="B133" s="10"/>
      <c r="C133" s="13"/>
      <c r="D133" s="73" t="s">
        <v>72</v>
      </c>
      <c r="E133" s="62"/>
      <c r="F133" s="63"/>
      <c r="G133" s="63"/>
      <c r="H133" s="63"/>
      <c r="J133" s="74">
        <f>E133*J132</f>
        <v>0</v>
      </c>
      <c r="L133" s="74">
        <f>IF($BD$15&lt;2,0, IF($BD$100="Yes", (E133*L132)*(1+$BD$10),(E133*L132)))</f>
        <v>0</v>
      </c>
      <c r="M133" s="74"/>
      <c r="N133" s="74">
        <f>IF($BD$15&lt;3,0, IF($BD$100="Yes", (E133*N132)*(1+$BD$10)^2,(E133*N132)))</f>
        <v>0</v>
      </c>
      <c r="O133" s="74"/>
      <c r="P133" s="74">
        <f>IF($BD$15&lt;4,0, IF($BD$100="Yes", (E133*P132)*(1+$BD$10)^3,(E133*P132)))</f>
        <v>0</v>
      </c>
      <c r="Q133" s="74"/>
      <c r="R133" s="74">
        <f>IF($BD$15&lt;5,0, IF($BD$100="Yes", (E133*R132)*(1+$BD$10)^4,(E133*R132)))</f>
        <v>0</v>
      </c>
      <c r="S133" s="74"/>
      <c r="T133" s="74">
        <f>IF($BD$15&lt;6,0, IF($BD$100="Yes", (E133*T132)*(1+$BD$10)^5,(E133*T132)))</f>
        <v>0</v>
      </c>
      <c r="V133" s="74">
        <f>IF($BD$15&lt;7,0, IF($BD$100="Yes", (E133*V132)*(1+$BD$10)^6,(E133*V132)))</f>
        <v>0</v>
      </c>
      <c r="W133" s="74"/>
      <c r="X133" s="74">
        <f>IF($BD$15&lt;8,0, IF($BD$100="Yes", (E133*X132)*(1+$BD$10)^7,(E133*X132)))</f>
        <v>0</v>
      </c>
      <c r="Y133" s="74"/>
      <c r="Z133" s="74">
        <f>IF($BD$15&lt;9,0, IF($BD$100="Yes", (E133*Z132)*(1+$BD$10)^8,(E133*Z132)))</f>
        <v>0</v>
      </c>
      <c r="AA133" s="74"/>
      <c r="AB133" s="74">
        <f>IF($BD$15&lt;10,0, IF($BD$100="Yes", (E133*AB132)*(1+$BD$10)^9,(E133*AB132)))</f>
        <v>0</v>
      </c>
      <c r="AC133" s="74"/>
      <c r="AD133" s="74">
        <f>J133+L133+N133+P133+R133+T133+V133+X133+Z133+AB133</f>
        <v>0</v>
      </c>
      <c r="AF133" s="321">
        <v>0</v>
      </c>
      <c r="AH133" s="321">
        <v>0</v>
      </c>
      <c r="AI133" s="74"/>
      <c r="AJ133" s="321">
        <v>0</v>
      </c>
      <c r="AK133" s="74"/>
      <c r="AL133" s="321">
        <v>0</v>
      </c>
      <c r="AM133" s="74"/>
      <c r="AN133" s="321">
        <v>0</v>
      </c>
      <c r="AO133" s="74"/>
      <c r="AP133" s="321">
        <v>0</v>
      </c>
      <c r="AR133" s="321">
        <v>0</v>
      </c>
      <c r="AS133" s="74"/>
      <c r="AT133" s="321">
        <v>0</v>
      </c>
      <c r="AU133" s="74"/>
      <c r="AV133" s="321">
        <v>0</v>
      </c>
      <c r="AW133" s="74"/>
      <c r="AX133" s="321">
        <v>0</v>
      </c>
      <c r="AY133" s="74"/>
      <c r="AZ133" s="321">
        <f>AF133+AH133+AJ133+AL133+AN133+AP133+AR133+AT133+AV133+AX133</f>
        <v>0</v>
      </c>
      <c r="BF133" s="55"/>
      <c r="BJ133" s="55"/>
      <c r="BN133" s="55"/>
      <c r="BR133" s="55"/>
      <c r="BV133" s="55"/>
      <c r="BZ133" s="55"/>
      <c r="CD133" s="55"/>
      <c r="CH133" s="55"/>
      <c r="CL133" s="55"/>
      <c r="CP133" s="55"/>
    </row>
    <row r="134" spans="1:94" outlineLevel="1" x14ac:dyDescent="0.25">
      <c r="A134" s="32" t="s">
        <v>238</v>
      </c>
      <c r="B134" s="10"/>
      <c r="C134" s="13"/>
      <c r="D134" s="73" t="s">
        <v>80</v>
      </c>
      <c r="E134" s="62"/>
      <c r="F134" s="63"/>
      <c r="G134" s="63"/>
      <c r="H134" s="63"/>
      <c r="J134" s="74">
        <f>E134*F134*J132</f>
        <v>0</v>
      </c>
      <c r="L134" s="74">
        <f>IF($BD$15&lt;2,0, IF($BD$100="Yes", (E134*F134*L132)*(1+$BD$10),(E134*F134*L132)))</f>
        <v>0</v>
      </c>
      <c r="M134" s="40"/>
      <c r="N134" s="74">
        <f>IF($BD$15&lt;3,0, IF($BD$100="Yes", (E134*F134*N132)*(1+$BD$10)^2,(E134*F134*N132)))</f>
        <v>0</v>
      </c>
      <c r="O134" s="40"/>
      <c r="P134" s="74">
        <f>IF($BD$15&lt;4,0, IF($BD$100="Yes", (E134*F134*P132)*(1+$BD$10)^3,(E134*F134*P132)))</f>
        <v>0</v>
      </c>
      <c r="Q134" s="40"/>
      <c r="R134" s="74">
        <f>IF($BD$15&lt;5,0, IF($BD$100="Yes", (E134*F134*R132)*(1+$BD$10)^4,(E134*F134*R132)))</f>
        <v>0</v>
      </c>
      <c r="S134" s="40"/>
      <c r="T134" s="74">
        <f>IF($BD$15&lt;6,0, IF($BD$100="Yes", (E134*F134*T132)*(1+$BD$10)^5,(E134*F134*T132)))</f>
        <v>0</v>
      </c>
      <c r="V134" s="74">
        <f>IF($BD$15&lt;7,0, IF($BD$100="Yes", (E134*F134*V132)*(1+$BD$10)^6,(E134*F134*V132)))</f>
        <v>0</v>
      </c>
      <c r="W134" s="40"/>
      <c r="X134" s="74">
        <f>IF($BD$15&lt;8,0, IF($BD$100="Yes", (E134*F134*X132)*(1+$BD$10)^7,(E134*F134*X132)))</f>
        <v>0</v>
      </c>
      <c r="Y134" s="40"/>
      <c r="Z134" s="74">
        <f>IF($BD$15&lt;9,0, IF($BD$100="Yes", (E134*F134*Z132)*(1+$BD$10)^8,(E134*F134*Z132)))</f>
        <v>0</v>
      </c>
      <c r="AA134" s="40"/>
      <c r="AB134" s="74">
        <f>IF($BD$15&lt;10,0, IF($BD$100="Yes", (E134*F134*AB132)*(1+$BD$10)^9,(E134*F134*AB132)))</f>
        <v>0</v>
      </c>
      <c r="AC134" s="74"/>
      <c r="AD134" s="74">
        <f>J134+L134+N134+P134+R134+T134+V134+X134+Z134+AB134</f>
        <v>0</v>
      </c>
      <c r="AF134" s="321">
        <v>0</v>
      </c>
      <c r="AH134" s="321">
        <v>0</v>
      </c>
      <c r="AI134" s="40"/>
      <c r="AJ134" s="321">
        <v>0</v>
      </c>
      <c r="AK134" s="40"/>
      <c r="AL134" s="321">
        <v>0</v>
      </c>
      <c r="AM134" s="40"/>
      <c r="AN134" s="321">
        <v>0</v>
      </c>
      <c r="AO134" s="40"/>
      <c r="AP134" s="321">
        <v>0</v>
      </c>
      <c r="AR134" s="321">
        <v>0</v>
      </c>
      <c r="AS134" s="40"/>
      <c r="AT134" s="321">
        <v>0</v>
      </c>
      <c r="AU134" s="40"/>
      <c r="AV134" s="321">
        <v>0</v>
      </c>
      <c r="AW134" s="40"/>
      <c r="AX134" s="321">
        <v>0</v>
      </c>
      <c r="AY134" s="74"/>
      <c r="AZ134" s="321">
        <f>AF134+AH134+AJ134+AL134+AN134+AP134+AR134+AT134+AV134+AX134</f>
        <v>0</v>
      </c>
      <c r="BF134" s="55"/>
      <c r="BJ134" s="55"/>
      <c r="BN134" s="55"/>
      <c r="BR134" s="55"/>
      <c r="BV134" s="55"/>
      <c r="BZ134" s="55"/>
      <c r="CD134" s="55"/>
      <c r="CH134" s="55"/>
      <c r="CL134" s="55"/>
      <c r="CP134" s="55"/>
    </row>
    <row r="135" spans="1:94" outlineLevel="1" x14ac:dyDescent="0.25">
      <c r="A135" s="32" t="s">
        <v>238</v>
      </c>
      <c r="B135" s="10"/>
      <c r="C135" s="13"/>
      <c r="D135" s="73" t="s">
        <v>260</v>
      </c>
      <c r="E135" s="62"/>
      <c r="F135" s="63"/>
      <c r="G135" s="63"/>
      <c r="H135" s="63"/>
      <c r="J135" s="74">
        <f>E135*F135*J132</f>
        <v>0</v>
      </c>
      <c r="L135" s="74">
        <f>IF($BD$15&lt;2,0, IF($BD$100="Yes", (E135*F135*L132)*(1+$BD$10),(E135*F135*L132)))</f>
        <v>0</v>
      </c>
      <c r="M135" s="40"/>
      <c r="N135" s="74">
        <f>IF($BD$15&lt;3,0, IF($BD$100="Yes", (E135*F135*N132)*(1+$BD$10)^2,(E135*F135*N132)))</f>
        <v>0</v>
      </c>
      <c r="O135" s="40"/>
      <c r="P135" s="74">
        <f>IF($BD$15&lt;4,0, IF($BD$100="Yes", (E135*F135*P132)*(1+$BD$10)^3,(E135*F135*P132)))</f>
        <v>0</v>
      </c>
      <c r="Q135" s="40"/>
      <c r="R135" s="74">
        <f>IF($BD$15&lt;5,0, IF($BD$100="Yes", (E135*F135*R132)*(1+$BD$10)^4,(E135*F135*R132)))</f>
        <v>0</v>
      </c>
      <c r="S135" s="40"/>
      <c r="T135" s="74">
        <f>IF($BD$15&lt;6,0, IF($BD$100="Yes", (E135*F135*T132)*(1+$BD$10)^5,(E135*F135*T132)))</f>
        <v>0</v>
      </c>
      <c r="V135" s="74">
        <f>IF($BD$15&lt;7,0, IF($BD$100="Yes", (E135*F135*V132)*(1+$BD$10)^6,(E135*F135*V132)))</f>
        <v>0</v>
      </c>
      <c r="W135" s="40"/>
      <c r="X135" s="74">
        <f>IF($BD$15&lt;8,0, IF($BD$100="Yes", (E135*F135*X132)*(1+$BD$10)^7,(E135*F135*X132)))</f>
        <v>0</v>
      </c>
      <c r="Y135" s="40"/>
      <c r="Z135" s="74">
        <f>IF($BD$15&lt;9,0, IF($BD$100="Yes", (E135*F135*Z132)*(1+$BD$10)^8,(E135*F135*Z132)))</f>
        <v>0</v>
      </c>
      <c r="AA135" s="40"/>
      <c r="AB135" s="74">
        <f>IF($BD$15&lt;10,0, IF($BD$100="Yes", (E135*F135*AB132)*(1+$BD$10)^9,(E135*F135*AB132)))</f>
        <v>0</v>
      </c>
      <c r="AC135" s="74"/>
      <c r="AD135" s="74">
        <f>J135+L135+N135+P135+R135+T135+V135+X135+Z135+AB135</f>
        <v>0</v>
      </c>
      <c r="AE135" s="74"/>
      <c r="AF135" s="321">
        <v>0</v>
      </c>
      <c r="AH135" s="321">
        <v>0</v>
      </c>
      <c r="AI135" s="40"/>
      <c r="AJ135" s="321">
        <v>0</v>
      </c>
      <c r="AK135" s="40"/>
      <c r="AL135" s="321">
        <v>0</v>
      </c>
      <c r="AM135" s="40"/>
      <c r="AN135" s="321">
        <v>0</v>
      </c>
      <c r="AO135" s="40"/>
      <c r="AP135" s="321">
        <v>0</v>
      </c>
      <c r="AR135" s="321">
        <v>0</v>
      </c>
      <c r="AS135" s="40"/>
      <c r="AT135" s="321">
        <v>0</v>
      </c>
      <c r="AU135" s="40"/>
      <c r="AV135" s="321">
        <v>0</v>
      </c>
      <c r="AW135" s="40"/>
      <c r="AX135" s="321">
        <v>0</v>
      </c>
      <c r="AY135" s="74"/>
      <c r="AZ135" s="321">
        <f>AF135+AH135+AJ135+AL135+AN135+AP135+AR135+AT135+AV135+AX135</f>
        <v>0</v>
      </c>
      <c r="BA135" s="40"/>
      <c r="BF135" s="55"/>
      <c r="BJ135" s="55"/>
      <c r="BN135" s="55"/>
      <c r="BR135" s="55"/>
      <c r="BV135" s="55"/>
      <c r="BZ135" s="55"/>
      <c r="CD135" s="55"/>
      <c r="CH135" s="55"/>
      <c r="CL135" s="55"/>
      <c r="CP135" s="55"/>
    </row>
    <row r="136" spans="1:94" outlineLevel="1" x14ac:dyDescent="0.25">
      <c r="A136" s="32" t="s">
        <v>238</v>
      </c>
      <c r="B136" s="10"/>
      <c r="C136" s="13"/>
      <c r="D136" s="73" t="s">
        <v>81</v>
      </c>
      <c r="E136" s="62">
        <v>40</v>
      </c>
      <c r="F136" s="63"/>
      <c r="G136" s="63"/>
      <c r="H136" s="63"/>
      <c r="J136" s="74">
        <f>E136*F136*J132</f>
        <v>0</v>
      </c>
      <c r="L136" s="74">
        <f>IF($BD$15&lt;2,0, IF($BD$100="Yes", (E136*F136*L132)*(1+$BD$10),(E136*F136*L132)))</f>
        <v>0</v>
      </c>
      <c r="M136" s="74"/>
      <c r="N136" s="74">
        <f>IF($BD$15&lt;3,0, IF($BD$100="Yes", (E136*F136*N132)*(1+$BD$10)^2,(E136*F136*N132)))</f>
        <v>0</v>
      </c>
      <c r="O136" s="74"/>
      <c r="P136" s="74">
        <f>IF($BD$15&lt;4,0, IF($BD$100="Yes", (E136*F136*P132)*(1+$BD$10)^3,(E136*F136*P132)))</f>
        <v>0</v>
      </c>
      <c r="Q136" s="74"/>
      <c r="R136" s="74">
        <f>IF($BD$15&lt;5,0, IF($BD$100="Yes", (E136*F136*R132)*(1+$BD$10)^4,(E136*F136*R132)))</f>
        <v>0</v>
      </c>
      <c r="S136" s="74"/>
      <c r="T136" s="74">
        <f>IF($BD$15&lt;6,0, IF($BD$100="Yes", (E136*F136*T132)*(1+$BD$10)^5,(E136*F136*T132)))</f>
        <v>0</v>
      </c>
      <c r="V136" s="74">
        <f>IF($BD$15&lt;7,0, IF($BD$100="Yes", (E136*F136*V132)*(1+$BD$10)^6,(E136*F136*V132)))</f>
        <v>0</v>
      </c>
      <c r="W136" s="74"/>
      <c r="X136" s="74">
        <f>IF($BD$15&lt;8,0, IF($BD$100="Yes", (E136*F136*X132)*(1+$BD$10)^7,(E136*F136*X132)))</f>
        <v>0</v>
      </c>
      <c r="Y136" s="74"/>
      <c r="Z136" s="74">
        <f>IF($BD$15&lt;9,0, IF($BD$100="Yes", (E136*F136*Z132)*(1+$BD$10)^8,(E136*F136*Z132)))</f>
        <v>0</v>
      </c>
      <c r="AA136" s="74"/>
      <c r="AB136" s="74">
        <f>IF($BD$15&lt;10,0, IF($BD$100="Yes", (E136*F136*AB132)*(1+$BD$10)^9,(E136*F136*AB132)))</f>
        <v>0</v>
      </c>
      <c r="AC136" s="74"/>
      <c r="AD136" s="74">
        <f>J136+L136+N136+P136+R136+T136+V136+X136+Z136+AB136</f>
        <v>0</v>
      </c>
      <c r="AE136" s="74"/>
      <c r="AF136" s="321">
        <v>0</v>
      </c>
      <c r="AH136" s="321">
        <v>0</v>
      </c>
      <c r="AI136" s="74"/>
      <c r="AJ136" s="321">
        <v>0</v>
      </c>
      <c r="AK136" s="74"/>
      <c r="AL136" s="321">
        <v>0</v>
      </c>
      <c r="AM136" s="74"/>
      <c r="AN136" s="321">
        <v>0</v>
      </c>
      <c r="AO136" s="74"/>
      <c r="AP136" s="321">
        <v>0</v>
      </c>
      <c r="AR136" s="321">
        <v>0</v>
      </c>
      <c r="AS136" s="74"/>
      <c r="AT136" s="321">
        <v>0</v>
      </c>
      <c r="AU136" s="74"/>
      <c r="AV136" s="321">
        <v>0</v>
      </c>
      <c r="AW136" s="74"/>
      <c r="AX136" s="321">
        <v>0</v>
      </c>
      <c r="AY136" s="74"/>
      <c r="AZ136" s="321">
        <f>AF136+AH136+AJ136+AL136+AN136+AP136+AR136+AT136+AV136+AX136</f>
        <v>0</v>
      </c>
      <c r="BF136" s="55"/>
      <c r="BJ136" s="55"/>
      <c r="BN136" s="55"/>
      <c r="BR136" s="55"/>
      <c r="BV136" s="55"/>
      <c r="BZ136" s="55"/>
      <c r="CD136" s="55"/>
      <c r="CH136" s="55"/>
      <c r="CL136" s="55"/>
      <c r="CP136" s="55"/>
    </row>
    <row r="137" spans="1:94" outlineLevel="1" x14ac:dyDescent="0.25">
      <c r="A137" s="32"/>
      <c r="B137" s="10"/>
      <c r="C137" s="13"/>
      <c r="E137" s="62"/>
      <c r="F137" s="63"/>
      <c r="G137" s="63"/>
      <c r="H137" s="63" t="s">
        <v>389</v>
      </c>
      <c r="M137" s="40"/>
      <c r="N137" s="74"/>
      <c r="O137" s="40"/>
      <c r="P137" s="74"/>
      <c r="Q137" s="40"/>
      <c r="R137" s="74"/>
      <c r="S137" s="40"/>
      <c r="W137" s="40"/>
      <c r="X137" s="74"/>
      <c r="Y137" s="40"/>
      <c r="Z137" s="74"/>
      <c r="AA137" s="40"/>
      <c r="AB137" s="74"/>
      <c r="AC137" s="74"/>
      <c r="AD137" s="355"/>
      <c r="AE137" s="74"/>
      <c r="AI137" s="40"/>
      <c r="AJ137" s="321"/>
      <c r="AK137" s="40"/>
      <c r="AL137" s="321"/>
      <c r="AM137" s="40"/>
      <c r="AN137" s="321"/>
      <c r="AO137" s="40"/>
      <c r="AS137" s="40"/>
      <c r="AT137" s="321"/>
      <c r="AU137" s="40"/>
      <c r="AV137" s="321"/>
      <c r="AW137" s="40"/>
      <c r="AX137" s="321"/>
      <c r="AY137" s="74"/>
      <c r="AZ137" s="321"/>
      <c r="BF137" s="55"/>
      <c r="BJ137" s="55"/>
      <c r="BN137" s="55"/>
      <c r="BR137" s="55"/>
      <c r="BV137" s="55"/>
      <c r="BZ137" s="55"/>
      <c r="CD137" s="55"/>
      <c r="CH137" s="55"/>
      <c r="CL137" s="55"/>
      <c r="CP137" s="55"/>
    </row>
    <row r="138" spans="1:94" outlineLevel="1" x14ac:dyDescent="0.25">
      <c r="A138" s="32"/>
      <c r="B138" s="10"/>
      <c r="C138" s="12" t="s">
        <v>71</v>
      </c>
      <c r="E138" s="62"/>
      <c r="F138" s="63"/>
      <c r="G138" s="63"/>
      <c r="H138" s="363"/>
      <c r="J138" s="356">
        <f>IF(BD15&lt;1,0, ($H138))</f>
        <v>0</v>
      </c>
      <c r="K138" s="355"/>
      <c r="L138" s="356">
        <f>IF(BD15&lt;2,0, ($H138))</f>
        <v>0</v>
      </c>
      <c r="M138" s="355"/>
      <c r="N138" s="356">
        <f>IF(BD15&lt;3,0, ($H138))</f>
        <v>0</v>
      </c>
      <c r="O138" s="355"/>
      <c r="P138" s="356">
        <f>IF(BD15&lt;4,0, ($H138))</f>
        <v>0</v>
      </c>
      <c r="Q138" s="355"/>
      <c r="R138" s="356">
        <f>IF(BD15&lt;5,0, ($H138))</f>
        <v>0</v>
      </c>
      <c r="S138" s="355"/>
      <c r="T138" s="356">
        <f>IF(BD15&lt;6,0, ($H138))</f>
        <v>0</v>
      </c>
      <c r="U138" s="355"/>
      <c r="V138" s="356">
        <f>IF(BD15&lt;7,0, ($H138))</f>
        <v>0</v>
      </c>
      <c r="W138" s="355"/>
      <c r="X138" s="356">
        <f>IF(BD15&lt;8,0, ($H138))</f>
        <v>0</v>
      </c>
      <c r="Y138" s="355"/>
      <c r="Z138" s="356">
        <f>IF(BD15&lt;9,0, ($H138))</f>
        <v>0</v>
      </c>
      <c r="AA138" s="355"/>
      <c r="AB138" s="356">
        <f>IF(BD15&lt;10,0, ($H138))</f>
        <v>0</v>
      </c>
      <c r="AC138" s="355"/>
      <c r="AD138" s="357">
        <f>J138+L138+N138+P138+R138+T138+V138+X138+Z138+AB138</f>
        <v>0</v>
      </c>
      <c r="AE138" s="74"/>
      <c r="AI138" s="40"/>
      <c r="AJ138" s="321"/>
      <c r="AK138" s="40"/>
      <c r="AL138" s="321"/>
      <c r="AM138" s="40"/>
      <c r="AN138" s="321"/>
      <c r="AO138" s="40"/>
      <c r="AS138" s="40"/>
      <c r="AT138" s="321"/>
      <c r="AU138" s="40"/>
      <c r="AV138" s="321"/>
      <c r="AW138" s="40"/>
      <c r="AX138" s="321"/>
      <c r="AY138" s="40"/>
      <c r="AZ138" s="321"/>
      <c r="BF138" s="55"/>
      <c r="BJ138" s="55"/>
      <c r="BN138" s="55"/>
      <c r="BR138" s="55"/>
      <c r="BV138" s="55"/>
      <c r="BZ138" s="55"/>
      <c r="CD138" s="55"/>
      <c r="CH138" s="55"/>
      <c r="CL138" s="55"/>
      <c r="CP138" s="55"/>
    </row>
    <row r="139" spans="1:94" outlineLevel="1" x14ac:dyDescent="0.25">
      <c r="A139" s="32" t="s">
        <v>238</v>
      </c>
      <c r="B139" s="10"/>
      <c r="C139" s="13"/>
      <c r="D139" s="73" t="s">
        <v>72</v>
      </c>
      <c r="E139" s="62"/>
      <c r="F139" s="63"/>
      <c r="G139" s="63"/>
      <c r="H139" s="63"/>
      <c r="J139" s="74">
        <f>E139*J138</f>
        <v>0</v>
      </c>
      <c r="L139" s="74">
        <f>IF($BD$15&lt;2,0, IF($BD$100="Yes", (E139*L138)*(1+$BD$10),(E139*L138)))</f>
        <v>0</v>
      </c>
      <c r="M139" s="74"/>
      <c r="N139" s="74">
        <f>IF($BD$15&lt;3,0, IF($BD$100="Yes", (E139*N138)*(1+$BD$10)^2,(E139*N138)))</f>
        <v>0</v>
      </c>
      <c r="O139" s="74"/>
      <c r="P139" s="74">
        <f>IF($BD$15&lt;4,0, IF($BD$100="Yes", (E139*P138)*(1+$BD$10)^3,(E139*P138)))</f>
        <v>0</v>
      </c>
      <c r="Q139" s="74"/>
      <c r="R139" s="74">
        <f>IF($BD$15&lt;5,0, IF($BD$100="Yes", (E139*R138)*(1+$BD$10)^4,(E139*R138)))</f>
        <v>0</v>
      </c>
      <c r="S139" s="74"/>
      <c r="T139" s="74">
        <f>IF($BD$15&lt;6,0, IF($BD$100="Yes", (E139*T138)*(1+$BD$10)^5,(E139*T138)))</f>
        <v>0</v>
      </c>
      <c r="V139" s="74">
        <f>IF($BD$15&lt;7,0, IF($BD$100="Yes", (E139*V138)*(1+$BD$10)^6,(E139*V138)))</f>
        <v>0</v>
      </c>
      <c r="W139" s="74"/>
      <c r="X139" s="74">
        <f>IF($BD$15&lt;8,0, IF($BD$100="Yes", (E139*X138)*(1+$BD$10)^7,(E139*X138)))</f>
        <v>0</v>
      </c>
      <c r="Y139" s="74"/>
      <c r="Z139" s="74">
        <f>IF($BD$15&lt;9,0, IF($BD$100="Yes", (E139*Z138)*(1+$BD$10)^8,(E139*Z138)))</f>
        <v>0</v>
      </c>
      <c r="AA139" s="74"/>
      <c r="AB139" s="74">
        <f>IF($BD$15&lt;10,0, IF($BD$100="Yes", (E139*AB138)*(1+$BD$10)^9,(E139*AB138)))</f>
        <v>0</v>
      </c>
      <c r="AC139" s="74"/>
      <c r="AD139" s="74">
        <f>J139+L139+N139+P139+R139+T139+V139+X139+Z139+AB139</f>
        <v>0</v>
      </c>
      <c r="AF139" s="321">
        <v>0</v>
      </c>
      <c r="AH139" s="321">
        <v>0</v>
      </c>
      <c r="AI139" s="74"/>
      <c r="AJ139" s="321">
        <v>0</v>
      </c>
      <c r="AK139" s="74"/>
      <c r="AL139" s="321">
        <v>0</v>
      </c>
      <c r="AM139" s="74"/>
      <c r="AN139" s="321">
        <v>0</v>
      </c>
      <c r="AO139" s="74"/>
      <c r="AP139" s="321">
        <v>0</v>
      </c>
      <c r="AR139" s="321">
        <v>0</v>
      </c>
      <c r="AS139" s="74"/>
      <c r="AT139" s="321">
        <v>0</v>
      </c>
      <c r="AU139" s="74"/>
      <c r="AV139" s="321">
        <v>0</v>
      </c>
      <c r="AW139" s="74"/>
      <c r="AX139" s="321">
        <v>0</v>
      </c>
      <c r="AY139" s="74"/>
      <c r="AZ139" s="321">
        <f>AF139+AH139+AJ139+AL139+AN139+AP139+AR139+AT139+AV139+AX139</f>
        <v>0</v>
      </c>
      <c r="BF139" s="55"/>
      <c r="BJ139" s="55"/>
      <c r="BN139" s="55"/>
      <c r="BR139" s="55"/>
      <c r="BV139" s="55"/>
      <c r="BZ139" s="55"/>
      <c r="CD139" s="55"/>
      <c r="CH139" s="55"/>
      <c r="CL139" s="55"/>
      <c r="CP139" s="55"/>
    </row>
    <row r="140" spans="1:94" outlineLevel="1" x14ac:dyDescent="0.25">
      <c r="A140" s="32" t="s">
        <v>238</v>
      </c>
      <c r="B140" s="10"/>
      <c r="C140" s="13"/>
      <c r="D140" s="73" t="s">
        <v>80</v>
      </c>
      <c r="E140" s="62"/>
      <c r="F140" s="63"/>
      <c r="G140" s="63"/>
      <c r="H140" s="63"/>
      <c r="J140" s="74">
        <f>E140*F140*J138</f>
        <v>0</v>
      </c>
      <c r="L140" s="74">
        <f>IF($BD$15&lt;2,0, IF($BD$100="Yes", (E140*F140*L138)*(1+$BD$10),(E140*F140*L138)))</f>
        <v>0</v>
      </c>
      <c r="M140" s="40"/>
      <c r="N140" s="74">
        <f>IF($BD$15&lt;3,0, IF($BD$100="Yes", (E140*F140*N138)*(1+$BD$10)^2,(E140*F140*N138)))</f>
        <v>0</v>
      </c>
      <c r="O140" s="40"/>
      <c r="P140" s="74">
        <f>IF($BD$15&lt;4,0, IF($BD$100="Yes", (E140*F140*P138)*(1+$BD$10)^3,(E140*F140*P138)))</f>
        <v>0</v>
      </c>
      <c r="Q140" s="40"/>
      <c r="R140" s="74">
        <f>IF($BD$15&lt;5,0, IF($BD$100="Yes", (E140*F140*R138)*(1+$BD$10)^4,(E140*F140*R138)))</f>
        <v>0</v>
      </c>
      <c r="S140" s="40"/>
      <c r="T140" s="74">
        <f>IF($BD$15&lt;6,0, IF($BD$100="Yes", (E140*F140*T138)*(1+$BD$10)^5,(E140*F140*T138)))</f>
        <v>0</v>
      </c>
      <c r="V140" s="74">
        <f>IF($BD$15&lt;7,0, IF($BD$100="Yes", (E140*F140*V138)*(1+$BD$10)^6,(E140*F140*V138)))</f>
        <v>0</v>
      </c>
      <c r="W140" s="40"/>
      <c r="X140" s="74">
        <f>IF($BD$15&lt;8,0, IF($BD$100="Yes", (E140*F140*X138)*(1+$BD$10)^7,(E140*F140*X138)))</f>
        <v>0</v>
      </c>
      <c r="Y140" s="40"/>
      <c r="Z140" s="74">
        <f>IF($BD$15&lt;9,0, IF($BD$100="Yes", (E140*F140*Z138)*(1+$BD$10)^8,(E140*F140*Z138)))</f>
        <v>0</v>
      </c>
      <c r="AA140" s="40"/>
      <c r="AB140" s="74">
        <f>IF($BD$15&lt;10,0, IF($BD$100="Yes", (E140*F140*AB138)*(1+$BD$10)^9,(E140*F140*AB138)))</f>
        <v>0</v>
      </c>
      <c r="AC140" s="74"/>
      <c r="AD140" s="74">
        <f>J140+L140+N140+P140+R140+T140+V140+X140+Z140+AB140</f>
        <v>0</v>
      </c>
      <c r="AF140" s="321">
        <v>0</v>
      </c>
      <c r="AH140" s="321">
        <v>0</v>
      </c>
      <c r="AI140" s="40"/>
      <c r="AJ140" s="321">
        <v>0</v>
      </c>
      <c r="AK140" s="40"/>
      <c r="AL140" s="321">
        <v>0</v>
      </c>
      <c r="AM140" s="40"/>
      <c r="AN140" s="321">
        <v>0</v>
      </c>
      <c r="AO140" s="40"/>
      <c r="AP140" s="321">
        <v>0</v>
      </c>
      <c r="AR140" s="321">
        <v>0</v>
      </c>
      <c r="AS140" s="40"/>
      <c r="AT140" s="321">
        <v>0</v>
      </c>
      <c r="AU140" s="40"/>
      <c r="AV140" s="321">
        <v>0</v>
      </c>
      <c r="AW140" s="40"/>
      <c r="AX140" s="321">
        <v>0</v>
      </c>
      <c r="AY140" s="74"/>
      <c r="AZ140" s="321">
        <f>AF140+AH140+AJ140+AL140+AN140+AP140+AR140+AT140+AV140+AX140</f>
        <v>0</v>
      </c>
      <c r="BF140" s="55"/>
      <c r="BJ140" s="55"/>
      <c r="BN140" s="55"/>
      <c r="BR140" s="55"/>
      <c r="BV140" s="55"/>
      <c r="BZ140" s="55"/>
      <c r="CD140" s="55"/>
      <c r="CH140" s="55"/>
      <c r="CL140" s="55"/>
      <c r="CP140" s="55"/>
    </row>
    <row r="141" spans="1:94" outlineLevel="1" x14ac:dyDescent="0.25">
      <c r="A141" s="32" t="s">
        <v>238</v>
      </c>
      <c r="B141" s="10"/>
      <c r="C141" s="13"/>
      <c r="D141" s="73" t="s">
        <v>260</v>
      </c>
      <c r="E141" s="62"/>
      <c r="F141" s="63"/>
      <c r="G141" s="63"/>
      <c r="H141" s="63"/>
      <c r="J141" s="74">
        <f>E141*F141*J138</f>
        <v>0</v>
      </c>
      <c r="L141" s="74">
        <f>IF($BD$15&lt;2,0, IF($BD$100="Yes", (E141*F141*L138)*(1+$BD$10),(E141*F141*L138)))</f>
        <v>0</v>
      </c>
      <c r="M141" s="40"/>
      <c r="N141" s="74">
        <f>IF($BD$15&lt;3,0, IF($BD$100="Yes", (E141*F141*N138)*(1+$BD$10)^2,(E141*F141*N138)))</f>
        <v>0</v>
      </c>
      <c r="O141" s="40"/>
      <c r="P141" s="74">
        <f>IF($BD$15&lt;4,0, IF($BD$100="Yes", (E141*F141*P138)*(1+$BD$10)^3,(E141*F141*P138)))</f>
        <v>0</v>
      </c>
      <c r="Q141" s="40"/>
      <c r="R141" s="74">
        <f>IF($BD$15&lt;5,0, IF($BD$100="Yes", (E141*F141*R138)*(1+$BD$10)^4,(E141*F141*R138)))</f>
        <v>0</v>
      </c>
      <c r="S141" s="40"/>
      <c r="T141" s="74">
        <f>IF($BD$15&lt;6,0, IF($BD$100="Yes", (E141*F141*T138)*(1+$BD$10)^5,(E141*F141*T138)))</f>
        <v>0</v>
      </c>
      <c r="V141" s="74">
        <f>IF($BD$15&lt;7,0, IF($BD$100="Yes", (E141*F141*V138)*(1+$BD$10)^6,(E141*F141*V138)))</f>
        <v>0</v>
      </c>
      <c r="W141" s="40"/>
      <c r="X141" s="74">
        <f>IF($BD$15&lt;8,0, IF($BD$100="Yes", (E141*F141*X138)*(1+$BD$10)^7,(E141*F141*X138)))</f>
        <v>0</v>
      </c>
      <c r="Y141" s="40"/>
      <c r="Z141" s="74">
        <f>IF($BD$15&lt;9,0, IF($BD$100="Yes", (E141*F141*Z138)*(1+$BD$10)^8,(E141*F141*Z138)))</f>
        <v>0</v>
      </c>
      <c r="AA141" s="40"/>
      <c r="AB141" s="74">
        <f>IF($BD$15&lt;10,0, IF($BD$100="Yes", (E141*F141*AB138)*(1+$BD$10)^9,(E141*F141*AB138)))</f>
        <v>0</v>
      </c>
      <c r="AC141" s="74"/>
      <c r="AD141" s="74">
        <f>J141+L141+N141+P141+R141+T141+V141+X141+Z141+AB141</f>
        <v>0</v>
      </c>
      <c r="AE141" s="74"/>
      <c r="AF141" s="321">
        <v>0</v>
      </c>
      <c r="AH141" s="321">
        <v>0</v>
      </c>
      <c r="AI141" s="40"/>
      <c r="AJ141" s="321">
        <v>0</v>
      </c>
      <c r="AK141" s="40"/>
      <c r="AL141" s="321">
        <v>0</v>
      </c>
      <c r="AM141" s="40"/>
      <c r="AN141" s="321">
        <v>0</v>
      </c>
      <c r="AO141" s="40"/>
      <c r="AP141" s="321">
        <v>0</v>
      </c>
      <c r="AR141" s="321">
        <v>0</v>
      </c>
      <c r="AS141" s="40"/>
      <c r="AT141" s="321">
        <v>0</v>
      </c>
      <c r="AU141" s="40"/>
      <c r="AV141" s="321">
        <v>0</v>
      </c>
      <c r="AW141" s="40"/>
      <c r="AX141" s="321">
        <v>0</v>
      </c>
      <c r="AY141" s="74"/>
      <c r="AZ141" s="321">
        <f>AF141+AH141+AJ141+AL141+AN141+AP141+AR141+AT141+AV141+AX141</f>
        <v>0</v>
      </c>
      <c r="BA141" s="40"/>
      <c r="BF141" s="55"/>
      <c r="BJ141" s="55"/>
      <c r="BN141" s="55"/>
      <c r="BR141" s="55"/>
      <c r="BV141" s="55"/>
      <c r="BZ141" s="55"/>
      <c r="CD141" s="55"/>
      <c r="CH141" s="55"/>
      <c r="CL141" s="55"/>
      <c r="CP141" s="55"/>
    </row>
    <row r="142" spans="1:94" outlineLevel="1" x14ac:dyDescent="0.25">
      <c r="A142" s="32" t="s">
        <v>238</v>
      </c>
      <c r="B142" s="10"/>
      <c r="C142" s="13"/>
      <c r="D142" s="73" t="s">
        <v>81</v>
      </c>
      <c r="E142" s="62">
        <v>40</v>
      </c>
      <c r="F142" s="63"/>
      <c r="G142" s="63"/>
      <c r="H142" s="63"/>
      <c r="J142" s="74">
        <f>E142*F142*J138</f>
        <v>0</v>
      </c>
      <c r="L142" s="74">
        <f>IF($BD$15&lt;2,0, IF($BD$100="Yes", (E142*F142*L138)*(1+$BD$10),(E142*F142*L138)))</f>
        <v>0</v>
      </c>
      <c r="M142" s="74"/>
      <c r="N142" s="74">
        <f>IF($BD$15&lt;3,0, IF($BD$100="Yes", (E142*F142*N138)*(1+$BD$10)^2,(E142*F142*N138)))</f>
        <v>0</v>
      </c>
      <c r="O142" s="74"/>
      <c r="P142" s="74">
        <f>IF($BD$15&lt;4,0, IF($BD$100="Yes", (E142*F142*P138)*(1+$BD$10)^3,(E142*F142*P138)))</f>
        <v>0</v>
      </c>
      <c r="Q142" s="74"/>
      <c r="R142" s="74">
        <f>IF($BD$15&lt;5,0, IF($BD$100="Yes", (E142*F142*R138)*(1+$BD$10)^4,(E142*F142*R138)))</f>
        <v>0</v>
      </c>
      <c r="S142" s="74"/>
      <c r="T142" s="74">
        <f>IF($BD$15&lt;6,0, IF($BD$100="Yes", (E142*F142*T138)*(1+$BD$10)^5,(E142*F142*T138)))</f>
        <v>0</v>
      </c>
      <c r="V142" s="74">
        <f>IF($BD$15&lt;7,0, IF($BD$100="Yes", (E142*F142*V138)*(1+$BD$10)^6,(E142*F142*V138)))</f>
        <v>0</v>
      </c>
      <c r="W142" s="74"/>
      <c r="X142" s="74">
        <f>IF($BD$15&lt;8,0, IF($BD$100="Yes", (E142*F142*X138)*(1+$BD$10)^7,(E142*F142*X138)))</f>
        <v>0</v>
      </c>
      <c r="Y142" s="74"/>
      <c r="Z142" s="74">
        <f>IF($BD$15&lt;9,0, IF($BD$100="Yes", (E142*F142*Z138)*(1+$BD$10)^8,(E142*F142*Z138)))</f>
        <v>0</v>
      </c>
      <c r="AA142" s="74"/>
      <c r="AB142" s="74">
        <f>IF($BD$15&lt;10,0, IF($BD$100="Yes", (E142*F142*AB138)*(1+$BD$10)^9,(E142*F142*AB138)))</f>
        <v>0</v>
      </c>
      <c r="AC142" s="74"/>
      <c r="AD142" s="74">
        <f>J142+L142+N142+P142+R142+T142+V142+X142+Z142+AB142</f>
        <v>0</v>
      </c>
      <c r="AE142" s="74"/>
      <c r="AF142" s="321">
        <v>0</v>
      </c>
      <c r="AH142" s="321">
        <v>0</v>
      </c>
      <c r="AI142" s="74"/>
      <c r="AJ142" s="321">
        <v>0</v>
      </c>
      <c r="AK142" s="74"/>
      <c r="AL142" s="321">
        <v>0</v>
      </c>
      <c r="AM142" s="74"/>
      <c r="AN142" s="321">
        <v>0</v>
      </c>
      <c r="AO142" s="74"/>
      <c r="AP142" s="321">
        <v>0</v>
      </c>
      <c r="AR142" s="321">
        <v>0</v>
      </c>
      <c r="AS142" s="74"/>
      <c r="AT142" s="321">
        <v>0</v>
      </c>
      <c r="AU142" s="74"/>
      <c r="AV142" s="321">
        <v>0</v>
      </c>
      <c r="AW142" s="74"/>
      <c r="AX142" s="321">
        <v>0</v>
      </c>
      <c r="AY142" s="74"/>
      <c r="AZ142" s="321">
        <f>AF142+AH142+AJ142+AL142+AN142+AP142+AR142+AT142+AV142+AX142</f>
        <v>0</v>
      </c>
      <c r="BF142" s="55"/>
      <c r="BJ142" s="55"/>
      <c r="BN142" s="55"/>
      <c r="BR142" s="55"/>
      <c r="BV142" s="55"/>
      <c r="BZ142" s="55"/>
      <c r="CD142" s="55"/>
      <c r="CH142" s="55"/>
      <c r="CL142" s="55"/>
      <c r="CP142" s="55"/>
    </row>
    <row r="143" spans="1:94" outlineLevel="1" x14ac:dyDescent="0.25">
      <c r="A143" s="32"/>
      <c r="B143" s="10"/>
      <c r="E143" s="62"/>
      <c r="F143" s="63"/>
      <c r="G143" s="63"/>
      <c r="H143" s="63" t="s">
        <v>389</v>
      </c>
      <c r="M143" s="40"/>
      <c r="N143" s="74"/>
      <c r="O143" s="40"/>
      <c r="P143" s="74"/>
      <c r="Q143" s="40"/>
      <c r="R143" s="74"/>
      <c r="S143" s="40"/>
      <c r="W143" s="40"/>
      <c r="X143" s="74"/>
      <c r="Y143" s="40"/>
      <c r="Z143" s="74"/>
      <c r="AA143" s="40"/>
      <c r="AB143" s="74"/>
      <c r="AC143" s="74"/>
      <c r="AD143" s="74"/>
      <c r="AE143" s="74"/>
      <c r="AI143" s="40"/>
      <c r="AJ143" s="321"/>
      <c r="AK143" s="40"/>
      <c r="AL143" s="321"/>
      <c r="AM143" s="40"/>
      <c r="AN143" s="321"/>
      <c r="AO143" s="40"/>
      <c r="AS143" s="40"/>
      <c r="AT143" s="321"/>
      <c r="AU143" s="40"/>
      <c r="AV143" s="321"/>
      <c r="AW143" s="40"/>
      <c r="AX143" s="321"/>
      <c r="AY143" s="74"/>
      <c r="AZ143" s="321"/>
      <c r="BF143" s="55"/>
      <c r="BJ143" s="55"/>
      <c r="BN143" s="55"/>
      <c r="BR143" s="55"/>
      <c r="BV143" s="55"/>
      <c r="BZ143" s="55"/>
      <c r="CD143" s="55"/>
      <c r="CH143" s="55"/>
      <c r="CL143" s="55"/>
      <c r="CP143" s="55"/>
    </row>
    <row r="144" spans="1:94" outlineLevel="1" x14ac:dyDescent="0.25">
      <c r="A144" s="32"/>
      <c r="B144" s="10"/>
      <c r="C144" s="12" t="s">
        <v>71</v>
      </c>
      <c r="E144" s="62"/>
      <c r="F144" s="63"/>
      <c r="G144" s="63"/>
      <c r="H144" s="363"/>
      <c r="J144" s="356">
        <f>IF(BD15&lt;1,0, ($H144))</f>
        <v>0</v>
      </c>
      <c r="K144" s="355"/>
      <c r="L144" s="356">
        <f>IF(BD15&lt;2,0, ($H144))</f>
        <v>0</v>
      </c>
      <c r="M144" s="355"/>
      <c r="N144" s="356">
        <f>IF(BD15&lt;3,0, ($H144))</f>
        <v>0</v>
      </c>
      <c r="O144" s="355"/>
      <c r="P144" s="356">
        <f>IF(BD15&lt;4,0, ($H144))</f>
        <v>0</v>
      </c>
      <c r="Q144" s="355"/>
      <c r="R144" s="356">
        <f>IF(BD15&lt;5,0, ($H144))</f>
        <v>0</v>
      </c>
      <c r="S144" s="355"/>
      <c r="T144" s="356">
        <f>IF(BD15&lt;6,0, ($H144))</f>
        <v>0</v>
      </c>
      <c r="U144" s="355"/>
      <c r="V144" s="356">
        <f>IF(BD15&lt;7,0, ($H144))</f>
        <v>0</v>
      </c>
      <c r="W144" s="355"/>
      <c r="X144" s="356">
        <f>IF(BD15&lt;8,0, ($H144))</f>
        <v>0</v>
      </c>
      <c r="Y144" s="355"/>
      <c r="Z144" s="356">
        <f>IF(BD15&lt;9,0, ($H144))</f>
        <v>0</v>
      </c>
      <c r="AA144" s="355"/>
      <c r="AB144" s="356">
        <f>IF(BD15&lt;10,0, ($H144))</f>
        <v>0</v>
      </c>
      <c r="AC144" s="355"/>
      <c r="AD144" s="357">
        <f t="shared" ref="AD144:AD149" si="44">J144+L144+N144+P144+R144+T144+V144+X144+Z144+AB144</f>
        <v>0</v>
      </c>
      <c r="AE144" s="74"/>
      <c r="AI144" s="40"/>
      <c r="AJ144" s="321"/>
      <c r="AK144" s="40"/>
      <c r="AL144" s="321"/>
      <c r="AM144" s="40"/>
      <c r="AN144" s="321"/>
      <c r="AO144" s="40"/>
      <c r="AS144" s="40"/>
      <c r="AT144" s="321"/>
      <c r="AU144" s="40"/>
      <c r="AV144" s="321"/>
      <c r="AW144" s="40"/>
      <c r="AX144" s="321"/>
      <c r="AY144" s="40"/>
      <c r="AZ144" s="321"/>
      <c r="BF144" s="55"/>
      <c r="BJ144" s="55"/>
      <c r="BN144" s="55"/>
      <c r="BR144" s="55"/>
      <c r="BV144" s="55"/>
      <c r="BZ144" s="55"/>
      <c r="CD144" s="55"/>
      <c r="CH144" s="55"/>
      <c r="CL144" s="55"/>
      <c r="CP144" s="55"/>
    </row>
    <row r="145" spans="1:94" outlineLevel="1" x14ac:dyDescent="0.25">
      <c r="A145" s="32" t="s">
        <v>238</v>
      </c>
      <c r="B145" s="10"/>
      <c r="C145" s="13"/>
      <c r="D145" s="73" t="s">
        <v>72</v>
      </c>
      <c r="E145" s="62"/>
      <c r="F145" s="63"/>
      <c r="G145" s="63"/>
      <c r="H145" s="63"/>
      <c r="J145" s="74">
        <f>E145*J144</f>
        <v>0</v>
      </c>
      <c r="L145" s="74">
        <f>IF($BD$15&lt;2,0, IF($BD$100="Yes", (E145*L144)*(1+$BD$10),(E145*L144)))</f>
        <v>0</v>
      </c>
      <c r="M145" s="74"/>
      <c r="N145" s="74">
        <f>IF($BD$15&lt;3,0, IF($BD$100="Yes", (E145*N144)*(1+$BD$10)^2,(E145*N144)))</f>
        <v>0</v>
      </c>
      <c r="O145" s="74"/>
      <c r="P145" s="74">
        <f>IF($BD$15&lt;4,0, IF($BD$100="Yes", (E145*P144)*(1+$BD$10)^3,(E145*P144)))</f>
        <v>0</v>
      </c>
      <c r="Q145" s="74"/>
      <c r="R145" s="74">
        <f>IF($BD$15&lt;5,0, IF($BD$100="Yes", (E145*R144)*(1+$BD$10)^4,(E145*R144)))</f>
        <v>0</v>
      </c>
      <c r="S145" s="74"/>
      <c r="T145" s="74">
        <f>IF($BD$15&lt;6,0, IF($BD$100="Yes", (E145*T144)*(1+$BD$10)^5,(E145*T144)))</f>
        <v>0</v>
      </c>
      <c r="V145" s="74">
        <f>IF($BD$15&lt;7,0, IF($BD$100="Yes", (E145*V144)*(1+$BD$10)^6,(E145*V144)))</f>
        <v>0</v>
      </c>
      <c r="W145" s="74"/>
      <c r="X145" s="74">
        <f>IF($BD$15&lt;8,0, IF($BD$100="Yes", (E145*X144)*(1+$BD$10)^7,(E145*X144)))</f>
        <v>0</v>
      </c>
      <c r="Y145" s="74"/>
      <c r="Z145" s="74">
        <f>IF($BD$15&lt;9,0, IF($BD$100="Yes", (E145*Z144)*(1+$BD$10)^8,(E145*Z144)))</f>
        <v>0</v>
      </c>
      <c r="AA145" s="74"/>
      <c r="AB145" s="74">
        <f>IF($BD$15&lt;10,0, IF($BD$100="Yes", (E145*AB144)*(1+$BD$10)^9,(E145*AB144)))</f>
        <v>0</v>
      </c>
      <c r="AC145" s="74"/>
      <c r="AD145" s="74">
        <f t="shared" si="44"/>
        <v>0</v>
      </c>
      <c r="AF145" s="321">
        <v>0</v>
      </c>
      <c r="AH145" s="321">
        <v>0</v>
      </c>
      <c r="AI145" s="74"/>
      <c r="AJ145" s="321">
        <v>0</v>
      </c>
      <c r="AK145" s="74"/>
      <c r="AL145" s="321">
        <v>0</v>
      </c>
      <c r="AM145" s="74"/>
      <c r="AN145" s="321">
        <v>0</v>
      </c>
      <c r="AO145" s="74"/>
      <c r="AP145" s="321">
        <v>0</v>
      </c>
      <c r="AR145" s="321">
        <v>0</v>
      </c>
      <c r="AS145" s="74"/>
      <c r="AT145" s="321">
        <v>0</v>
      </c>
      <c r="AU145" s="74"/>
      <c r="AV145" s="321">
        <v>0</v>
      </c>
      <c r="AW145" s="74"/>
      <c r="AX145" s="321">
        <v>0</v>
      </c>
      <c r="AY145" s="74"/>
      <c r="AZ145" s="321">
        <f>AF145+AH145+AJ145+AL145+AN145+AP145+AR145+AT145+AV145+AX145</f>
        <v>0</v>
      </c>
      <c r="BF145" s="55"/>
      <c r="BJ145" s="55"/>
      <c r="BN145" s="55"/>
      <c r="BR145" s="55"/>
      <c r="BV145" s="55"/>
      <c r="BZ145" s="55"/>
      <c r="CD145" s="55"/>
      <c r="CH145" s="55"/>
      <c r="CL145" s="55"/>
      <c r="CP145" s="55"/>
    </row>
    <row r="146" spans="1:94" outlineLevel="1" x14ac:dyDescent="0.25">
      <c r="A146" s="32" t="s">
        <v>238</v>
      </c>
      <c r="B146" s="10"/>
      <c r="C146" s="13"/>
      <c r="D146" s="73" t="s">
        <v>80</v>
      </c>
      <c r="E146" s="62"/>
      <c r="F146" s="63"/>
      <c r="G146" s="63"/>
      <c r="H146" s="63"/>
      <c r="J146" s="74">
        <f>E146*F146*J144</f>
        <v>0</v>
      </c>
      <c r="L146" s="74">
        <f>IF($BD$15&lt;2,0, IF($BD$100="Yes", (E146*F146*L144)*(1+$BD$10),(E146*F146*L144)))</f>
        <v>0</v>
      </c>
      <c r="M146" s="40"/>
      <c r="N146" s="74">
        <f>IF($BD$15&lt;3,0, IF($BD$100="Yes", (E146*F146*N144)*(1+$BD$10)^2,(E146*F146*N144)))</f>
        <v>0</v>
      </c>
      <c r="O146" s="40"/>
      <c r="P146" s="74">
        <f>IF($BD$15&lt;4,0, IF($BD$100="Yes", (E146*F146*P144)*(1+$BD$10)^3,(E146*F146*P144)))</f>
        <v>0</v>
      </c>
      <c r="Q146" s="40"/>
      <c r="R146" s="74">
        <f>IF($BD$15&lt;5,0, IF($BD$100="Yes", (E146*F146*R144)*(1+$BD$10)^4,(E146*F146*R144)))</f>
        <v>0</v>
      </c>
      <c r="S146" s="40"/>
      <c r="T146" s="74">
        <f>IF($BD$15&lt;6,0, IF($BD$100="Yes", (E146*F146*T144)*(1+$BD$10)^5,(E146*F146*T144)))</f>
        <v>0</v>
      </c>
      <c r="V146" s="74">
        <f>IF($BD$15&lt;7,0, IF($BD$100="Yes", (E146*F146*V144)*(1+$BD$10)^6,(E146*F146*V144)))</f>
        <v>0</v>
      </c>
      <c r="W146" s="40"/>
      <c r="X146" s="74">
        <f>IF($BD$15&lt;8,0, IF($BD$100="Yes", (E146*F146*X144)*(1+$BD$10)^7,(E146*F146*X144)))</f>
        <v>0</v>
      </c>
      <c r="Y146" s="40"/>
      <c r="Z146" s="74">
        <f>IF($BD$15&lt;9,0, IF($BD$100="Yes", (E146*F146*Z144)*(1+$BD$10)^8,(E146*F146*Z144)))</f>
        <v>0</v>
      </c>
      <c r="AA146" s="40"/>
      <c r="AB146" s="74">
        <f>IF($BD$15&lt;10,0, IF($BD$100="Yes", (E146*F146*AB144)*(1+$BD$10)^9,(E146*F146*AB144)))</f>
        <v>0</v>
      </c>
      <c r="AC146" s="74"/>
      <c r="AD146" s="74">
        <f t="shared" si="44"/>
        <v>0</v>
      </c>
      <c r="AF146" s="321">
        <v>0</v>
      </c>
      <c r="AH146" s="321">
        <v>0</v>
      </c>
      <c r="AI146" s="40"/>
      <c r="AJ146" s="321">
        <v>0</v>
      </c>
      <c r="AK146" s="40"/>
      <c r="AL146" s="321">
        <v>0</v>
      </c>
      <c r="AM146" s="40"/>
      <c r="AN146" s="321">
        <v>0</v>
      </c>
      <c r="AO146" s="40"/>
      <c r="AP146" s="321">
        <v>0</v>
      </c>
      <c r="AR146" s="321">
        <v>0</v>
      </c>
      <c r="AS146" s="40"/>
      <c r="AT146" s="321">
        <v>0</v>
      </c>
      <c r="AU146" s="40"/>
      <c r="AV146" s="321">
        <v>0</v>
      </c>
      <c r="AW146" s="40"/>
      <c r="AX146" s="321">
        <v>0</v>
      </c>
      <c r="AY146" s="74"/>
      <c r="AZ146" s="321">
        <f>AF146+AH146+AJ146+AL146+AN146+AP146+AR146+AT146+AV146+AX146</f>
        <v>0</v>
      </c>
      <c r="BF146" s="55"/>
      <c r="BJ146" s="55"/>
      <c r="BN146" s="55"/>
      <c r="BR146" s="55"/>
      <c r="BV146" s="55"/>
      <c r="BZ146" s="55"/>
      <c r="CD146" s="55"/>
      <c r="CH146" s="55"/>
      <c r="CL146" s="55"/>
      <c r="CP146" s="55"/>
    </row>
    <row r="147" spans="1:94" outlineLevel="1" x14ac:dyDescent="0.25">
      <c r="A147" s="32" t="s">
        <v>238</v>
      </c>
      <c r="B147" s="10"/>
      <c r="C147" s="13"/>
      <c r="D147" s="73" t="s">
        <v>260</v>
      </c>
      <c r="E147" s="62"/>
      <c r="F147" s="63"/>
      <c r="G147" s="63"/>
      <c r="H147" s="63"/>
      <c r="J147" s="74">
        <f>E147*F147*J144</f>
        <v>0</v>
      </c>
      <c r="L147" s="74">
        <f>IF($BD$15&lt;2,0, IF($BD$100="Yes", (E147*F147*L144)*(1+$BD$10),(E147*F147*L144)))</f>
        <v>0</v>
      </c>
      <c r="M147" s="40"/>
      <c r="N147" s="74">
        <f>IF($BD$15&lt;3,0, IF($BD$100="Yes", (E147*F147*N144)*(1+$BD$10)^2,(E147*F147*N144)))</f>
        <v>0</v>
      </c>
      <c r="O147" s="40"/>
      <c r="P147" s="74">
        <f>IF($BD$15&lt;4,0, IF($BD$100="Yes", (E147*F147*P144)*(1+$BD$10)^3,(E147*F147*P144)))</f>
        <v>0</v>
      </c>
      <c r="Q147" s="40"/>
      <c r="R147" s="74">
        <f>IF($BD$15&lt;5,0, IF($BD$100="Yes", (E147*F147*R144)*(1+$BD$10)^4,(E147*F147*R144)))</f>
        <v>0</v>
      </c>
      <c r="S147" s="40"/>
      <c r="T147" s="74">
        <f>IF($BD$15&lt;6,0, IF($BD$100="Yes", (E147*F147*T144)*(1+$BD$10)^5,(E147*F147*T144)))</f>
        <v>0</v>
      </c>
      <c r="V147" s="74">
        <f>IF($BD$15&lt;7,0, IF($BD$100="Yes", (E147*F147*V144)*(1+$BD$10)^6,(E147*F147*V144)))</f>
        <v>0</v>
      </c>
      <c r="W147" s="40"/>
      <c r="X147" s="74">
        <f>IF($BD$15&lt;8,0, IF($BD$100="Yes", (E147*F147*X144)*(1+$BD$10)^7,(E147*F147*X144)))</f>
        <v>0</v>
      </c>
      <c r="Y147" s="40"/>
      <c r="Z147" s="74">
        <f>IF($BD$15&lt;9,0, IF($BD$100="Yes", (E147*F147*Z144)*(1+$BD$10)^8,(E147*F147*Z144)))</f>
        <v>0</v>
      </c>
      <c r="AA147" s="40"/>
      <c r="AB147" s="74">
        <f>IF($BD$15&lt;10,0, IF($BD$100="Yes", (E147*F147*AB144)*(1+$BD$10)^9,(E147*F147*AB144)))</f>
        <v>0</v>
      </c>
      <c r="AC147" s="74"/>
      <c r="AD147" s="74">
        <f t="shared" si="44"/>
        <v>0</v>
      </c>
      <c r="AE147" s="74"/>
      <c r="AF147" s="321">
        <v>0</v>
      </c>
      <c r="AH147" s="321">
        <v>0</v>
      </c>
      <c r="AI147" s="40"/>
      <c r="AJ147" s="321">
        <v>0</v>
      </c>
      <c r="AK147" s="40"/>
      <c r="AL147" s="321">
        <v>0</v>
      </c>
      <c r="AM147" s="40"/>
      <c r="AN147" s="321">
        <v>0</v>
      </c>
      <c r="AO147" s="40"/>
      <c r="AP147" s="321">
        <v>0</v>
      </c>
      <c r="AR147" s="321">
        <v>0</v>
      </c>
      <c r="AS147" s="40"/>
      <c r="AT147" s="321">
        <v>0</v>
      </c>
      <c r="AU147" s="40"/>
      <c r="AV147" s="321">
        <v>0</v>
      </c>
      <c r="AW147" s="40"/>
      <c r="AX147" s="321">
        <v>0</v>
      </c>
      <c r="AY147" s="74"/>
      <c r="AZ147" s="321">
        <f>AF147+AH147+AJ147+AL147+AN147+AP147+AR147+AT147+AV147+AX147</f>
        <v>0</v>
      </c>
      <c r="BA147" s="40"/>
      <c r="BF147" s="55"/>
      <c r="BJ147" s="55"/>
      <c r="BN147" s="55"/>
      <c r="BR147" s="55"/>
      <c r="BV147" s="55"/>
      <c r="BZ147" s="55"/>
      <c r="CD147" s="55"/>
      <c r="CH147" s="55"/>
      <c r="CL147" s="55"/>
      <c r="CP147" s="55"/>
    </row>
    <row r="148" spans="1:94" outlineLevel="1" x14ac:dyDescent="0.25">
      <c r="A148" s="32" t="s">
        <v>238</v>
      </c>
      <c r="B148" s="10"/>
      <c r="C148" s="13"/>
      <c r="D148" s="73" t="s">
        <v>81</v>
      </c>
      <c r="E148" s="62">
        <v>40</v>
      </c>
      <c r="F148" s="63"/>
      <c r="G148" s="63"/>
      <c r="H148" s="63"/>
      <c r="J148" s="74">
        <f>E148*F148*J144</f>
        <v>0</v>
      </c>
      <c r="L148" s="74">
        <f>IF($BD$15&lt;2,0, IF($BD$100="Yes", (E148*F148*L144)*(1+$BD$10),(E148*F148*L144)))</f>
        <v>0</v>
      </c>
      <c r="M148" s="74"/>
      <c r="N148" s="74">
        <f>IF($BD$15&lt;3,0, IF($BD$100="Yes", (E148*F148*N144)*(1+$BD$10)^2,(E148*F148*N144)))</f>
        <v>0</v>
      </c>
      <c r="O148" s="74"/>
      <c r="P148" s="74">
        <f>IF($BD$15&lt;4,0, IF($BD$100="Yes", (E148*F148*P144)*(1+$BD$10)^3,(E148*F148*P144)))</f>
        <v>0</v>
      </c>
      <c r="Q148" s="74"/>
      <c r="R148" s="74">
        <f>IF($BD$15&lt;5,0, IF($BD$100="Yes", (E148*F148*R144)*(1+$BD$10)^4,(E148*F148*R144)))</f>
        <v>0</v>
      </c>
      <c r="S148" s="74"/>
      <c r="T148" s="74">
        <f>IF($BD$15&lt;6,0, IF($BD$100="Yes", (E148*F148*T144)*(1+$BD$10)^5,(E148*F148*T144)))</f>
        <v>0</v>
      </c>
      <c r="V148" s="74">
        <f>IF($BD$15&lt;7,0, IF($BD$100="Yes", (E148*F148*V144)*(1+$BD$10)^6,(E148*F148*V144)))</f>
        <v>0</v>
      </c>
      <c r="W148" s="74"/>
      <c r="X148" s="74">
        <f>IF($BD$15&lt;8,0, IF($BD$100="Yes", (E148*F148*X144)*(1+$BD$10)^7,(E148*F148*X144)))</f>
        <v>0</v>
      </c>
      <c r="Y148" s="74"/>
      <c r="Z148" s="74">
        <f>IF($BD$15&lt;9,0, IF($BD$100="Yes", (E148*F148*Z144)*(1+$BD$10)^8,(E148*F148*Z144)))</f>
        <v>0</v>
      </c>
      <c r="AA148" s="74"/>
      <c r="AB148" s="74">
        <f>IF($BD$15&lt;10,0, IF($BD$100="Yes", (E148*F148*AB144)*(1+$BD$10)^9,(E148*F148*AB144)))</f>
        <v>0</v>
      </c>
      <c r="AC148" s="74"/>
      <c r="AD148" s="74">
        <f t="shared" si="44"/>
        <v>0</v>
      </c>
      <c r="AE148" s="74"/>
      <c r="AF148" s="321">
        <v>0</v>
      </c>
      <c r="AH148" s="321">
        <v>0</v>
      </c>
      <c r="AI148" s="74"/>
      <c r="AJ148" s="321">
        <v>0</v>
      </c>
      <c r="AK148" s="74"/>
      <c r="AL148" s="321">
        <v>0</v>
      </c>
      <c r="AM148" s="74"/>
      <c r="AN148" s="321">
        <v>0</v>
      </c>
      <c r="AO148" s="74"/>
      <c r="AP148" s="321">
        <v>0</v>
      </c>
      <c r="AR148" s="321">
        <v>0</v>
      </c>
      <c r="AS148" s="74"/>
      <c r="AT148" s="321">
        <v>0</v>
      </c>
      <c r="AU148" s="74"/>
      <c r="AV148" s="321">
        <v>0</v>
      </c>
      <c r="AW148" s="74"/>
      <c r="AX148" s="321">
        <v>0</v>
      </c>
      <c r="AY148" s="74"/>
      <c r="AZ148" s="321">
        <f>AF148+AH148+AJ148+AL148+AN148+AP148+AR148+AT148+AV148+AX148</f>
        <v>0</v>
      </c>
      <c r="BF148" s="55"/>
      <c r="BJ148" s="55"/>
      <c r="BN148" s="55"/>
      <c r="BR148" s="55"/>
      <c r="BV148" s="55"/>
      <c r="BZ148" s="55"/>
      <c r="CD148" s="55"/>
      <c r="CH148" s="55"/>
      <c r="CL148" s="55"/>
      <c r="CP148" s="55"/>
    </row>
    <row r="149" spans="1:94" x14ac:dyDescent="0.25">
      <c r="A149" s="32"/>
      <c r="B149" s="10"/>
      <c r="E149" s="59"/>
      <c r="G149" s="58"/>
      <c r="H149" s="60" t="s">
        <v>47</v>
      </c>
      <c r="J149" s="61">
        <f>SUMIF(A131:A148,Hidden_Lookups!A21,J131:J148)</f>
        <v>0</v>
      </c>
      <c r="K149" s="61"/>
      <c r="L149" s="61">
        <f>SUMIF(A131:A148,Hidden_Lookups!A21,L131:L148)</f>
        <v>0</v>
      </c>
      <c r="M149" s="61"/>
      <c r="N149" s="61">
        <f>SUMIF(A131:A148,Hidden_Lookups!A21,N131:N148)</f>
        <v>0</v>
      </c>
      <c r="O149" s="61"/>
      <c r="P149" s="61">
        <f>SUMIF(A131:A148,Hidden_Lookups!A21,P131:P148)</f>
        <v>0</v>
      </c>
      <c r="Q149" s="61"/>
      <c r="R149" s="61">
        <f>SUMIF(A131:A148,Hidden_Lookups!A21,R131:R148)</f>
        <v>0</v>
      </c>
      <c r="S149" s="61"/>
      <c r="T149" s="61">
        <f>SUMIF(A131:A148,Hidden_Lookups!A21,T131:T148)</f>
        <v>0</v>
      </c>
      <c r="U149" s="61"/>
      <c r="V149" s="61">
        <f>SUMIF(A131:A148,Hidden_Lookups!A21,V131:V148)</f>
        <v>0</v>
      </c>
      <c r="W149" s="61"/>
      <c r="X149" s="61">
        <f>SUMIF(A131:A148,Hidden_Lookups!A21,X131:X148)</f>
        <v>0</v>
      </c>
      <c r="Y149" s="61"/>
      <c r="Z149" s="61">
        <f>SUMIF(A131:A148,Hidden_Lookups!A21,Z131:Z148)</f>
        <v>0</v>
      </c>
      <c r="AA149" s="61"/>
      <c r="AB149" s="61">
        <f>SUMIF(A131:A148,Hidden_Lookups!A21,AB131:AB148)</f>
        <v>0</v>
      </c>
      <c r="AC149" s="61"/>
      <c r="AD149" s="315">
        <f t="shared" si="44"/>
        <v>0</v>
      </c>
      <c r="AE149" s="74"/>
      <c r="AF149" s="326">
        <f>SUM(AF132:AF148)</f>
        <v>0</v>
      </c>
      <c r="AG149" s="61"/>
      <c r="AH149" s="326">
        <f>SUM(AH132:AH148)</f>
        <v>0</v>
      </c>
      <c r="AI149" s="72"/>
      <c r="AJ149" s="326">
        <f>SUM(AJ132:AJ148)</f>
        <v>0</v>
      </c>
      <c r="AK149" s="72"/>
      <c r="AL149" s="326">
        <f>SUM(AL132:AL148)</f>
        <v>0</v>
      </c>
      <c r="AM149" s="72"/>
      <c r="AN149" s="326">
        <f>SUM(AN132:AN148)</f>
        <v>0</v>
      </c>
      <c r="AO149" s="72"/>
      <c r="AP149" s="326">
        <f>SUM(AP132:AP148)</f>
        <v>0</v>
      </c>
      <c r="AQ149" s="61"/>
      <c r="AR149" s="326">
        <f>SUM(AR132:AR148)</f>
        <v>0</v>
      </c>
      <c r="AS149" s="72"/>
      <c r="AT149" s="326">
        <f>SUM(AT132:AT148)</f>
        <v>0</v>
      </c>
      <c r="AU149" s="72"/>
      <c r="AV149" s="326">
        <f>SUM(AV132:AV148)</f>
        <v>0</v>
      </c>
      <c r="AW149" s="72"/>
      <c r="AX149" s="326">
        <f>SUM(AX132:AX148)</f>
        <v>0</v>
      </c>
      <c r="AY149" s="61"/>
      <c r="AZ149" s="336">
        <f>AF149+AH149+AJ149+AL149+AN149+AP149+AR149+AT149+AV149+AX149</f>
        <v>0</v>
      </c>
      <c r="BF149" s="55"/>
      <c r="BJ149" s="55"/>
      <c r="BN149" s="55"/>
      <c r="BR149" s="55"/>
      <c r="BV149" s="55"/>
      <c r="BZ149" s="55"/>
      <c r="CD149" s="55"/>
      <c r="CH149" s="55"/>
      <c r="CL149" s="55"/>
      <c r="CP149" s="55"/>
    </row>
    <row r="150" spans="1:94" ht="9" customHeight="1" x14ac:dyDescent="0.25">
      <c r="B150" s="10"/>
      <c r="J150" s="14"/>
      <c r="L150" s="14"/>
      <c r="M150" s="40"/>
      <c r="N150" s="14"/>
      <c r="O150" s="40"/>
      <c r="P150" s="14"/>
      <c r="Q150" s="40"/>
      <c r="R150" s="14"/>
      <c r="S150" s="40"/>
      <c r="T150" s="14"/>
      <c r="V150" s="14"/>
      <c r="W150" s="40"/>
      <c r="X150" s="14"/>
      <c r="Y150" s="40"/>
      <c r="Z150" s="14"/>
      <c r="AA150" s="40"/>
      <c r="AB150" s="14"/>
      <c r="AC150" s="74"/>
      <c r="AD150" s="60"/>
      <c r="AF150" s="324"/>
      <c r="AH150" s="324"/>
      <c r="AI150" s="40"/>
      <c r="AJ150" s="324"/>
      <c r="AK150" s="40"/>
      <c r="AL150" s="324"/>
      <c r="AM150" s="40"/>
      <c r="AN150" s="324"/>
      <c r="AO150" s="40"/>
      <c r="AP150" s="324"/>
      <c r="AR150" s="324"/>
      <c r="AS150" s="40"/>
      <c r="AT150" s="324"/>
      <c r="AU150" s="40"/>
      <c r="AV150" s="324"/>
      <c r="AW150" s="40"/>
      <c r="AX150" s="324"/>
      <c r="AY150" s="74"/>
      <c r="AZ150" s="325"/>
      <c r="BF150" s="55"/>
      <c r="BJ150" s="55"/>
      <c r="BN150" s="55"/>
      <c r="BR150" s="55"/>
      <c r="BV150" s="55"/>
      <c r="BZ150" s="55"/>
      <c r="CD150" s="55"/>
      <c r="CH150" s="55"/>
      <c r="CL150" s="55"/>
      <c r="CP150" s="55"/>
    </row>
    <row r="151" spans="1:94" x14ac:dyDescent="0.25">
      <c r="B151" s="10"/>
      <c r="C151" s="73" t="s">
        <v>21</v>
      </c>
      <c r="J151" s="74">
        <f>+J149+J129</f>
        <v>0</v>
      </c>
      <c r="L151" s="74">
        <f>L149+L129</f>
        <v>0</v>
      </c>
      <c r="M151" s="40"/>
      <c r="N151" s="74">
        <f>N149+N129</f>
        <v>0</v>
      </c>
      <c r="O151" s="40"/>
      <c r="P151" s="74">
        <f>P149+P129</f>
        <v>0</v>
      </c>
      <c r="Q151" s="40"/>
      <c r="R151" s="74">
        <f>R149+R129</f>
        <v>0</v>
      </c>
      <c r="S151" s="40"/>
      <c r="T151" s="74">
        <f>+T149+T129</f>
        <v>0</v>
      </c>
      <c r="V151" s="74">
        <f>V149+V129</f>
        <v>0</v>
      </c>
      <c r="W151" s="40"/>
      <c r="X151" s="74">
        <f>X149+X129</f>
        <v>0</v>
      </c>
      <c r="Y151" s="40"/>
      <c r="Z151" s="74">
        <f>Z149+Z129</f>
        <v>0</v>
      </c>
      <c r="AA151" s="40"/>
      <c r="AB151" s="74">
        <f>AB149+AB129</f>
        <v>0</v>
      </c>
      <c r="AC151" s="74"/>
      <c r="AD151" s="74">
        <f>J151+L151+N151+P151+R151+T151+V151+X151+Z151+AB151</f>
        <v>0</v>
      </c>
      <c r="AE151" s="74"/>
      <c r="AF151" s="321">
        <f>+AF149+AF129</f>
        <v>0</v>
      </c>
      <c r="AH151" s="321">
        <f>AH149+AH129</f>
        <v>0</v>
      </c>
      <c r="AI151" s="40"/>
      <c r="AJ151" s="321">
        <f>AJ149+AJ129</f>
        <v>0</v>
      </c>
      <c r="AK151" s="40"/>
      <c r="AL151" s="321">
        <f>AL149+AL129</f>
        <v>0</v>
      </c>
      <c r="AM151" s="40"/>
      <c r="AN151" s="321">
        <f>AN149+AN129</f>
        <v>0</v>
      </c>
      <c r="AO151" s="40"/>
      <c r="AP151" s="321">
        <f>+AP149+AP129</f>
        <v>0</v>
      </c>
      <c r="AR151" s="321">
        <f>AR149+AR129</f>
        <v>0</v>
      </c>
      <c r="AS151" s="40"/>
      <c r="AT151" s="321">
        <f>AT149+AT129</f>
        <v>0</v>
      </c>
      <c r="AU151" s="40"/>
      <c r="AV151" s="321">
        <f>AV149+AV129</f>
        <v>0</v>
      </c>
      <c r="AW151" s="40"/>
      <c r="AX151" s="321">
        <f>AX149+AX129</f>
        <v>0</v>
      </c>
      <c r="AY151" s="74"/>
      <c r="AZ151" s="321">
        <f>AF151+AH151+AJ151+AL151+AN151+AP151+AR151+AT151+AV151+AX151</f>
        <v>0</v>
      </c>
      <c r="BF151" s="55"/>
      <c r="BJ151" s="55"/>
      <c r="BN151" s="55"/>
      <c r="BR151" s="55"/>
      <c r="BV151" s="55"/>
      <c r="BZ151" s="55"/>
      <c r="CD151" s="55"/>
      <c r="CH151" s="55"/>
      <c r="CL151" s="55"/>
      <c r="CP151" s="55"/>
    </row>
    <row r="152" spans="1:94" x14ac:dyDescent="0.25">
      <c r="M152" s="40"/>
      <c r="N152" s="74"/>
      <c r="O152" s="40"/>
      <c r="P152" s="40"/>
      <c r="Q152" s="40"/>
      <c r="R152" s="40"/>
      <c r="S152" s="40"/>
      <c r="W152" s="40"/>
      <c r="X152" s="74"/>
      <c r="Y152" s="40"/>
      <c r="Z152" s="40"/>
      <c r="AA152" s="40"/>
      <c r="AB152" s="40"/>
      <c r="AC152" s="40"/>
      <c r="AD152" s="74"/>
      <c r="AI152" s="40"/>
      <c r="AJ152" s="321"/>
      <c r="AK152" s="40"/>
      <c r="AL152" s="85"/>
      <c r="AM152" s="40"/>
      <c r="AN152" s="85"/>
      <c r="AO152" s="40"/>
      <c r="AS152" s="40"/>
      <c r="AT152" s="321"/>
      <c r="AU152" s="40"/>
      <c r="AV152" s="85"/>
      <c r="AW152" s="40"/>
      <c r="AX152" s="85"/>
      <c r="AY152" s="40"/>
      <c r="AZ152" s="321"/>
      <c r="BF152" s="55"/>
      <c r="BJ152" s="55"/>
      <c r="BN152" s="55"/>
      <c r="BR152" s="55"/>
      <c r="BV152" s="55"/>
      <c r="BZ152" s="55"/>
      <c r="CD152" s="55"/>
      <c r="CH152" s="55"/>
      <c r="CL152" s="55"/>
      <c r="CP152" s="55"/>
    </row>
    <row r="153" spans="1:94" x14ac:dyDescent="0.25">
      <c r="B153" s="10" t="s">
        <v>9</v>
      </c>
      <c r="C153" s="10" t="s">
        <v>30</v>
      </c>
      <c r="E153" s="409" t="s">
        <v>494</v>
      </c>
      <c r="F153" s="403"/>
      <c r="G153" s="403"/>
      <c r="H153" s="404"/>
      <c r="M153" s="40"/>
      <c r="N153" s="40"/>
      <c r="O153" s="40"/>
      <c r="P153" s="40"/>
      <c r="Q153" s="40"/>
      <c r="R153" s="40"/>
      <c r="S153" s="40"/>
      <c r="W153" s="40"/>
      <c r="X153" s="40"/>
      <c r="Y153" s="40"/>
      <c r="Z153" s="40"/>
      <c r="AA153" s="40"/>
      <c r="AB153" s="40"/>
      <c r="AC153" s="40"/>
      <c r="AD153" s="74"/>
      <c r="AI153" s="40"/>
      <c r="AJ153" s="85"/>
      <c r="AK153" s="40"/>
      <c r="AL153" s="85"/>
      <c r="AM153" s="40"/>
      <c r="AN153" s="85"/>
      <c r="AO153" s="40"/>
      <c r="AS153" s="40"/>
      <c r="AT153" s="85"/>
      <c r="AU153" s="40"/>
      <c r="AV153" s="85"/>
      <c r="AW153" s="40"/>
      <c r="AX153" s="85"/>
      <c r="AY153" s="40"/>
      <c r="AZ153" s="321"/>
      <c r="BF153" s="55"/>
      <c r="BJ153" s="55"/>
      <c r="BN153" s="55"/>
      <c r="BR153" s="55"/>
      <c r="BV153" s="55"/>
      <c r="BZ153" s="55"/>
      <c r="CD153" s="55"/>
      <c r="CH153" s="55"/>
      <c r="CL153" s="55"/>
      <c r="CP153" s="55"/>
    </row>
    <row r="154" spans="1:94" outlineLevel="1" x14ac:dyDescent="0.25">
      <c r="B154" s="10"/>
      <c r="C154" s="12"/>
      <c r="E154" s="62" t="s">
        <v>70</v>
      </c>
      <c r="F154" s="58" t="s">
        <v>73</v>
      </c>
      <c r="G154" s="58"/>
      <c r="M154" s="40"/>
      <c r="N154" s="40"/>
      <c r="O154" s="40"/>
      <c r="P154" s="40"/>
      <c r="Q154" s="40"/>
      <c r="R154" s="40"/>
      <c r="S154" s="40"/>
      <c r="W154" s="40"/>
      <c r="X154" s="40"/>
      <c r="Y154" s="40"/>
      <c r="Z154" s="40"/>
      <c r="AA154" s="40"/>
      <c r="AB154" s="40"/>
      <c r="AC154" s="40"/>
      <c r="AD154" s="74"/>
      <c r="AI154" s="40"/>
      <c r="AJ154" s="85"/>
      <c r="AK154" s="40"/>
      <c r="AL154" s="85"/>
      <c r="AM154" s="40"/>
      <c r="AN154" s="85"/>
      <c r="AO154" s="40"/>
      <c r="AS154" s="40"/>
      <c r="AT154" s="85"/>
      <c r="AU154" s="40"/>
      <c r="AV154" s="85"/>
      <c r="AW154" s="40"/>
      <c r="AX154" s="85"/>
      <c r="AY154" s="40"/>
      <c r="AZ154" s="321"/>
      <c r="BF154" s="55"/>
      <c r="BJ154" s="55"/>
      <c r="BN154" s="55"/>
      <c r="BR154" s="55"/>
      <c r="BV154" s="55"/>
      <c r="BZ154" s="55"/>
      <c r="CD154" s="55"/>
      <c r="CH154" s="55"/>
      <c r="CL154" s="55"/>
      <c r="CP154" s="55"/>
    </row>
    <row r="155" spans="1:94" outlineLevel="1" x14ac:dyDescent="0.25">
      <c r="A155" s="73" t="s">
        <v>30</v>
      </c>
      <c r="B155" s="10"/>
      <c r="C155" s="73" t="s">
        <v>35</v>
      </c>
      <c r="E155" s="62"/>
      <c r="F155" s="63"/>
      <c r="J155" s="74">
        <f>E155*F155</f>
        <v>0</v>
      </c>
      <c r="L155" s="74">
        <v>0</v>
      </c>
      <c r="M155" s="40"/>
      <c r="N155" s="74">
        <v>0</v>
      </c>
      <c r="O155" s="40"/>
      <c r="P155" s="74">
        <v>0</v>
      </c>
      <c r="Q155" s="40"/>
      <c r="R155" s="74">
        <v>0</v>
      </c>
      <c r="S155" s="74"/>
      <c r="T155" s="74">
        <v>0</v>
      </c>
      <c r="V155" s="74">
        <v>0</v>
      </c>
      <c r="W155" s="40"/>
      <c r="X155" s="74">
        <v>0</v>
      </c>
      <c r="Y155" s="40"/>
      <c r="Z155" s="74">
        <v>0</v>
      </c>
      <c r="AA155" s="40"/>
      <c r="AB155" s="74">
        <v>0</v>
      </c>
      <c r="AC155" s="74"/>
      <c r="AD155" s="74">
        <f>J155+L155+N155+P155+R155+T155+V155+X155+Z155+AB155</f>
        <v>0</v>
      </c>
      <c r="AE155" s="74"/>
      <c r="AF155" s="321">
        <f>AA155*AB155</f>
        <v>0</v>
      </c>
      <c r="AH155" s="321">
        <v>0</v>
      </c>
      <c r="AI155" s="40"/>
      <c r="AJ155" s="321">
        <v>0</v>
      </c>
      <c r="AK155" s="40"/>
      <c r="AL155" s="321">
        <v>0</v>
      </c>
      <c r="AM155" s="40"/>
      <c r="AN155" s="321">
        <v>0</v>
      </c>
      <c r="AO155" s="74"/>
      <c r="AP155" s="321">
        <v>0</v>
      </c>
      <c r="AR155" s="321">
        <v>0</v>
      </c>
      <c r="AS155" s="40"/>
      <c r="AT155" s="321">
        <v>0</v>
      </c>
      <c r="AU155" s="40"/>
      <c r="AV155" s="321">
        <v>0</v>
      </c>
      <c r="AW155" s="40"/>
      <c r="AX155" s="321">
        <v>0</v>
      </c>
      <c r="AY155" s="74"/>
      <c r="AZ155" s="321">
        <f>AF155+AH155+AJ155+AL155+AN155+AP155+AR155+AT155+AV155+AX155</f>
        <v>0</v>
      </c>
      <c r="BC155" s="68" t="s">
        <v>374</v>
      </c>
      <c r="BF155" s="55"/>
      <c r="BJ155" s="55"/>
      <c r="BN155" s="55"/>
      <c r="BR155" s="55"/>
      <c r="BV155" s="55"/>
      <c r="BZ155" s="55"/>
      <c r="CD155" s="55"/>
      <c r="CH155" s="55"/>
      <c r="CL155" s="55"/>
      <c r="CP155" s="55"/>
    </row>
    <row r="156" spans="1:94" outlineLevel="1" x14ac:dyDescent="0.25">
      <c r="A156" s="73" t="s">
        <v>30</v>
      </c>
      <c r="B156" s="10"/>
      <c r="C156" s="73" t="s">
        <v>10</v>
      </c>
      <c r="E156" s="62"/>
      <c r="F156" s="63"/>
      <c r="J156" s="74">
        <f>E156*F156</f>
        <v>0</v>
      </c>
      <c r="L156" s="74">
        <v>0</v>
      </c>
      <c r="M156" s="40"/>
      <c r="N156" s="74">
        <v>0</v>
      </c>
      <c r="O156" s="40"/>
      <c r="P156" s="74">
        <v>0</v>
      </c>
      <c r="Q156" s="40"/>
      <c r="R156" s="74">
        <v>0</v>
      </c>
      <c r="S156" s="74"/>
      <c r="T156" s="74">
        <v>0</v>
      </c>
      <c r="V156" s="74">
        <v>0</v>
      </c>
      <c r="W156" s="40"/>
      <c r="X156" s="74">
        <v>0</v>
      </c>
      <c r="Y156" s="40"/>
      <c r="Z156" s="74">
        <v>0</v>
      </c>
      <c r="AA156" s="40"/>
      <c r="AB156" s="74">
        <v>0</v>
      </c>
      <c r="AC156" s="74"/>
      <c r="AD156" s="74">
        <f>J156+L156+N156+P156+R156+T156+V156+X156+Z156+AB156</f>
        <v>0</v>
      </c>
      <c r="AE156" s="74"/>
      <c r="AF156" s="321">
        <f>AA156*AB156</f>
        <v>0</v>
      </c>
      <c r="AH156" s="321">
        <v>0</v>
      </c>
      <c r="AI156" s="40"/>
      <c r="AJ156" s="321">
        <v>0</v>
      </c>
      <c r="AK156" s="40"/>
      <c r="AL156" s="321">
        <v>0</v>
      </c>
      <c r="AM156" s="40"/>
      <c r="AN156" s="321">
        <v>0</v>
      </c>
      <c r="AO156" s="74"/>
      <c r="AP156" s="321">
        <v>0</v>
      </c>
      <c r="AR156" s="321">
        <v>0</v>
      </c>
      <c r="AS156" s="40"/>
      <c r="AT156" s="321">
        <v>0</v>
      </c>
      <c r="AU156" s="40"/>
      <c r="AV156" s="321">
        <v>0</v>
      </c>
      <c r="AW156" s="40"/>
      <c r="AX156" s="321">
        <v>0</v>
      </c>
      <c r="AY156" s="74"/>
      <c r="AZ156" s="321">
        <f>AF156+AH156+AJ156+AL156+AN156+AP156+AR156+AT156+AV156+AX156</f>
        <v>0</v>
      </c>
      <c r="BC156" s="68" t="s">
        <v>373</v>
      </c>
      <c r="BF156" s="55"/>
      <c r="BJ156" s="55"/>
      <c r="BN156" s="55"/>
      <c r="BR156" s="55"/>
      <c r="BV156" s="55"/>
      <c r="BZ156" s="55"/>
      <c r="CD156" s="55"/>
      <c r="CH156" s="55"/>
      <c r="CL156" s="55"/>
      <c r="CP156" s="55"/>
    </row>
    <row r="157" spans="1:94" outlineLevel="1" x14ac:dyDescent="0.25">
      <c r="A157" s="73" t="s">
        <v>30</v>
      </c>
      <c r="B157" s="10"/>
      <c r="C157" s="13" t="s">
        <v>36</v>
      </c>
      <c r="E157" s="62"/>
      <c r="F157" s="63"/>
      <c r="J157" s="74">
        <f>E157*F157</f>
        <v>0</v>
      </c>
      <c r="L157" s="74">
        <v>0</v>
      </c>
      <c r="M157" s="40"/>
      <c r="N157" s="74">
        <v>0</v>
      </c>
      <c r="O157" s="40"/>
      <c r="P157" s="74">
        <v>0</v>
      </c>
      <c r="Q157" s="40"/>
      <c r="R157" s="74">
        <v>0</v>
      </c>
      <c r="S157" s="74"/>
      <c r="T157" s="74">
        <v>0</v>
      </c>
      <c r="V157" s="74">
        <v>0</v>
      </c>
      <c r="W157" s="40"/>
      <c r="X157" s="74">
        <v>0</v>
      </c>
      <c r="Y157" s="40"/>
      <c r="Z157" s="74">
        <v>0</v>
      </c>
      <c r="AA157" s="40"/>
      <c r="AB157" s="74">
        <v>0</v>
      </c>
      <c r="AC157" s="74"/>
      <c r="AD157" s="74">
        <f>J157+L157+N157+P157+R157+T157+V157+X157+Z157+AB157</f>
        <v>0</v>
      </c>
      <c r="AE157" s="74"/>
      <c r="AF157" s="321">
        <f>AA157*AB157</f>
        <v>0</v>
      </c>
      <c r="AH157" s="321">
        <v>0</v>
      </c>
      <c r="AI157" s="40"/>
      <c r="AJ157" s="321">
        <v>0</v>
      </c>
      <c r="AK157" s="40"/>
      <c r="AL157" s="321">
        <v>0</v>
      </c>
      <c r="AM157" s="40"/>
      <c r="AN157" s="321">
        <v>0</v>
      </c>
      <c r="AO157" s="74"/>
      <c r="AP157" s="321">
        <v>0</v>
      </c>
      <c r="AR157" s="321">
        <v>0</v>
      </c>
      <c r="AS157" s="40"/>
      <c r="AT157" s="321">
        <v>0</v>
      </c>
      <c r="AU157" s="40"/>
      <c r="AV157" s="321">
        <v>0</v>
      </c>
      <c r="AW157" s="40"/>
      <c r="AX157" s="321">
        <v>0</v>
      </c>
      <c r="AY157" s="74"/>
      <c r="AZ157" s="321">
        <f>AF157+AH157+AJ157+AL157+AN157+AP157+AR157+AT157+AV157+AX157</f>
        <v>0</v>
      </c>
      <c r="BC157" s="68" t="s">
        <v>386</v>
      </c>
      <c r="BF157" s="55"/>
      <c r="BJ157" s="55"/>
      <c r="BN157" s="55"/>
      <c r="BR157" s="55"/>
      <c r="BV157" s="55"/>
      <c r="BZ157" s="55"/>
      <c r="CD157" s="55"/>
      <c r="CH157" s="55"/>
      <c r="CL157" s="55"/>
      <c r="CP157" s="55"/>
    </row>
    <row r="158" spans="1:94" outlineLevel="1" x14ac:dyDescent="0.25">
      <c r="A158" s="73" t="s">
        <v>30</v>
      </c>
      <c r="B158" s="10"/>
      <c r="C158" s="13" t="s">
        <v>37</v>
      </c>
      <c r="E158" s="62"/>
      <c r="F158" s="63"/>
      <c r="J158" s="74">
        <f>E158*F158</f>
        <v>0</v>
      </c>
      <c r="L158" s="74">
        <v>0</v>
      </c>
      <c r="M158" s="40"/>
      <c r="N158" s="74">
        <v>0</v>
      </c>
      <c r="O158" s="40"/>
      <c r="P158" s="74">
        <v>0</v>
      </c>
      <c r="Q158" s="40"/>
      <c r="R158" s="74">
        <v>0</v>
      </c>
      <c r="S158" s="74"/>
      <c r="T158" s="74">
        <v>0</v>
      </c>
      <c r="V158" s="74">
        <v>0</v>
      </c>
      <c r="W158" s="40"/>
      <c r="X158" s="74">
        <v>0</v>
      </c>
      <c r="Y158" s="40"/>
      <c r="Z158" s="74">
        <v>0</v>
      </c>
      <c r="AA158" s="40"/>
      <c r="AB158" s="74">
        <v>0</v>
      </c>
      <c r="AC158" s="74"/>
      <c r="AD158" s="74">
        <f>J158+L158+N158+P158+R158+T158+V158+X158+Z158+AB158</f>
        <v>0</v>
      </c>
      <c r="AE158" s="74"/>
      <c r="AF158" s="321">
        <f>AA158*AB158</f>
        <v>0</v>
      </c>
      <c r="AH158" s="321">
        <v>0</v>
      </c>
      <c r="AI158" s="40"/>
      <c r="AJ158" s="321">
        <v>0</v>
      </c>
      <c r="AK158" s="40"/>
      <c r="AL158" s="321">
        <v>0</v>
      </c>
      <c r="AM158" s="40"/>
      <c r="AN158" s="321">
        <v>0</v>
      </c>
      <c r="AO158" s="74"/>
      <c r="AP158" s="321">
        <v>0</v>
      </c>
      <c r="AR158" s="321">
        <v>0</v>
      </c>
      <c r="AS158" s="40"/>
      <c r="AT158" s="321">
        <v>0</v>
      </c>
      <c r="AU158" s="40"/>
      <c r="AV158" s="321">
        <v>0</v>
      </c>
      <c r="AW158" s="40"/>
      <c r="AX158" s="321">
        <v>0</v>
      </c>
      <c r="AY158" s="74"/>
      <c r="AZ158" s="321">
        <f>AF158+AH158+AJ158+AL158+AN158+AP158+AR158+AT158+AV158+AX158</f>
        <v>0</v>
      </c>
      <c r="BC158" s="68" t="s">
        <v>385</v>
      </c>
      <c r="BF158" s="55"/>
      <c r="BJ158" s="55"/>
      <c r="BN158" s="55"/>
      <c r="BR158" s="55"/>
      <c r="BV158" s="55"/>
      <c r="BZ158" s="55"/>
      <c r="CD158" s="55"/>
      <c r="CH158" s="55"/>
      <c r="CL158" s="55"/>
      <c r="CP158" s="55"/>
    </row>
    <row r="159" spans="1:94" outlineLevel="1" x14ac:dyDescent="0.25">
      <c r="B159" s="10"/>
      <c r="C159" s="13"/>
      <c r="E159" s="62"/>
      <c r="F159" s="63"/>
      <c r="M159" s="40"/>
      <c r="N159" s="74"/>
      <c r="O159" s="40"/>
      <c r="P159" s="74"/>
      <c r="Q159" s="40"/>
      <c r="R159" s="74"/>
      <c r="S159" s="40"/>
      <c r="W159" s="40"/>
      <c r="X159" s="74"/>
      <c r="Y159" s="40"/>
      <c r="Z159" s="74"/>
      <c r="AA159" s="40"/>
      <c r="AB159" s="74"/>
      <c r="AC159" s="74"/>
      <c r="AD159" s="74"/>
      <c r="AE159" s="74"/>
      <c r="AI159" s="40"/>
      <c r="AJ159" s="321"/>
      <c r="AK159" s="40"/>
      <c r="AL159" s="321"/>
      <c r="AM159" s="40"/>
      <c r="AN159" s="321"/>
      <c r="AO159" s="40"/>
      <c r="AS159" s="40"/>
      <c r="AT159" s="321"/>
      <c r="AU159" s="40"/>
      <c r="AV159" s="321"/>
      <c r="AW159" s="40"/>
      <c r="AX159" s="321"/>
      <c r="AY159" s="74"/>
      <c r="AZ159" s="321"/>
      <c r="BF159" s="55"/>
      <c r="BJ159" s="55"/>
      <c r="BN159" s="55"/>
      <c r="BR159" s="55"/>
      <c r="BV159" s="55"/>
      <c r="BZ159" s="55"/>
      <c r="CD159" s="55"/>
      <c r="CH159" s="55"/>
      <c r="CL159" s="55"/>
      <c r="CP159" s="55"/>
    </row>
    <row r="160" spans="1:94" outlineLevel="1" x14ac:dyDescent="0.25">
      <c r="A160" s="73" t="s">
        <v>30</v>
      </c>
      <c r="B160" s="10"/>
      <c r="C160" s="73" t="s">
        <v>35</v>
      </c>
      <c r="E160" s="62"/>
      <c r="F160" s="63"/>
      <c r="J160" s="74">
        <f>E160*F160</f>
        <v>0</v>
      </c>
      <c r="L160" s="74">
        <v>0</v>
      </c>
      <c r="M160" s="40"/>
      <c r="N160" s="74">
        <v>0</v>
      </c>
      <c r="O160" s="40"/>
      <c r="P160" s="74">
        <v>0</v>
      </c>
      <c r="Q160" s="40"/>
      <c r="R160" s="74">
        <v>0</v>
      </c>
      <c r="S160" s="74"/>
      <c r="T160" s="74">
        <v>0</v>
      </c>
      <c r="V160" s="74">
        <v>0</v>
      </c>
      <c r="W160" s="40"/>
      <c r="X160" s="74">
        <v>0</v>
      </c>
      <c r="Y160" s="40"/>
      <c r="Z160" s="74">
        <v>0</v>
      </c>
      <c r="AA160" s="40"/>
      <c r="AB160" s="74">
        <v>0</v>
      </c>
      <c r="AC160" s="74"/>
      <c r="AD160" s="74">
        <f>J160+L160+N160+P160+R160+T160+V160+X160+Z160+AB160</f>
        <v>0</v>
      </c>
      <c r="AE160" s="74"/>
      <c r="AF160" s="321">
        <f>AA160*AB160</f>
        <v>0</v>
      </c>
      <c r="AH160" s="321">
        <v>0</v>
      </c>
      <c r="AI160" s="40"/>
      <c r="AJ160" s="321">
        <v>0</v>
      </c>
      <c r="AK160" s="40"/>
      <c r="AL160" s="321">
        <v>0</v>
      </c>
      <c r="AM160" s="40"/>
      <c r="AN160" s="321">
        <v>0</v>
      </c>
      <c r="AO160" s="74"/>
      <c r="AP160" s="321">
        <v>0</v>
      </c>
      <c r="AR160" s="321">
        <v>0</v>
      </c>
      <c r="AS160" s="40"/>
      <c r="AT160" s="321">
        <v>0</v>
      </c>
      <c r="AU160" s="40"/>
      <c r="AV160" s="321">
        <v>0</v>
      </c>
      <c r="AW160" s="40"/>
      <c r="AX160" s="321">
        <v>0</v>
      </c>
      <c r="AY160" s="74"/>
      <c r="AZ160" s="321">
        <f>AF160+AH160+AJ160+AL160+AN160+AP160+AR160+AT160+AV160+AX160</f>
        <v>0</v>
      </c>
      <c r="BF160" s="55"/>
      <c r="BJ160" s="55"/>
      <c r="BN160" s="55"/>
      <c r="BR160" s="55"/>
      <c r="BV160" s="55"/>
      <c r="BZ160" s="55"/>
      <c r="CD160" s="55"/>
      <c r="CH160" s="55"/>
      <c r="CL160" s="55"/>
      <c r="CP160" s="55"/>
    </row>
    <row r="161" spans="1:94" outlineLevel="1" x14ac:dyDescent="0.25">
      <c r="A161" s="73" t="s">
        <v>30</v>
      </c>
      <c r="B161" s="10"/>
      <c r="C161" s="73" t="s">
        <v>10</v>
      </c>
      <c r="E161" s="62"/>
      <c r="F161" s="63"/>
      <c r="J161" s="74">
        <f>E161*F161</f>
        <v>0</v>
      </c>
      <c r="L161" s="74">
        <v>0</v>
      </c>
      <c r="M161" s="40"/>
      <c r="N161" s="74">
        <v>0</v>
      </c>
      <c r="O161" s="40"/>
      <c r="P161" s="74">
        <v>0</v>
      </c>
      <c r="Q161" s="40"/>
      <c r="R161" s="74">
        <v>0</v>
      </c>
      <c r="S161" s="74"/>
      <c r="T161" s="74">
        <v>0</v>
      </c>
      <c r="V161" s="74">
        <v>0</v>
      </c>
      <c r="W161" s="40"/>
      <c r="X161" s="74">
        <v>0</v>
      </c>
      <c r="Y161" s="40"/>
      <c r="Z161" s="74">
        <v>0</v>
      </c>
      <c r="AA161" s="40"/>
      <c r="AB161" s="74">
        <v>0</v>
      </c>
      <c r="AC161" s="74"/>
      <c r="AD161" s="74">
        <f>J161+L161+N161+P161+R161+T161+V161+X161+Z161+AB161</f>
        <v>0</v>
      </c>
      <c r="AE161" s="74"/>
      <c r="AF161" s="321">
        <f>AA161*AB161</f>
        <v>0</v>
      </c>
      <c r="AH161" s="321">
        <v>0</v>
      </c>
      <c r="AI161" s="40"/>
      <c r="AJ161" s="321">
        <v>0</v>
      </c>
      <c r="AK161" s="40"/>
      <c r="AL161" s="321">
        <v>0</v>
      </c>
      <c r="AM161" s="40"/>
      <c r="AN161" s="321">
        <v>0</v>
      </c>
      <c r="AO161" s="74"/>
      <c r="AP161" s="321">
        <v>0</v>
      </c>
      <c r="AR161" s="321">
        <v>0</v>
      </c>
      <c r="AS161" s="40"/>
      <c r="AT161" s="321">
        <v>0</v>
      </c>
      <c r="AU161" s="40"/>
      <c r="AV161" s="321">
        <v>0</v>
      </c>
      <c r="AW161" s="40"/>
      <c r="AX161" s="321">
        <v>0</v>
      </c>
      <c r="AY161" s="74"/>
      <c r="AZ161" s="321">
        <f>AF161+AH161+AJ161+AL161+AN161+AP161+AR161+AT161+AV161+AX161</f>
        <v>0</v>
      </c>
      <c r="BF161" s="55"/>
      <c r="BJ161" s="55"/>
      <c r="BN161" s="55"/>
      <c r="BR161" s="55"/>
      <c r="BV161" s="55"/>
      <c r="BZ161" s="55"/>
      <c r="CD161" s="55"/>
      <c r="CH161" s="55"/>
      <c r="CL161" s="55"/>
      <c r="CP161" s="55"/>
    </row>
    <row r="162" spans="1:94" outlineLevel="1" x14ac:dyDescent="0.25">
      <c r="A162" s="73" t="s">
        <v>30</v>
      </c>
      <c r="B162" s="10"/>
      <c r="C162" s="13" t="s">
        <v>36</v>
      </c>
      <c r="E162" s="62"/>
      <c r="F162" s="63"/>
      <c r="J162" s="74">
        <f>E162*F162</f>
        <v>0</v>
      </c>
      <c r="L162" s="74">
        <v>0</v>
      </c>
      <c r="M162" s="40"/>
      <c r="N162" s="74">
        <v>0</v>
      </c>
      <c r="O162" s="40"/>
      <c r="P162" s="74">
        <v>0</v>
      </c>
      <c r="Q162" s="40"/>
      <c r="R162" s="74">
        <v>0</v>
      </c>
      <c r="S162" s="74"/>
      <c r="T162" s="74">
        <v>0</v>
      </c>
      <c r="V162" s="74">
        <v>0</v>
      </c>
      <c r="W162" s="40"/>
      <c r="X162" s="74">
        <v>0</v>
      </c>
      <c r="Y162" s="40"/>
      <c r="Z162" s="74">
        <v>0</v>
      </c>
      <c r="AA162" s="40"/>
      <c r="AB162" s="74">
        <v>0</v>
      </c>
      <c r="AC162" s="74"/>
      <c r="AD162" s="74">
        <f>J162+L162+N162+P162+R162+T162+V162+X162+Z162+AB162</f>
        <v>0</v>
      </c>
      <c r="AE162" s="74"/>
      <c r="AF162" s="321">
        <f>AA162*AB162</f>
        <v>0</v>
      </c>
      <c r="AH162" s="321">
        <v>0</v>
      </c>
      <c r="AI162" s="40"/>
      <c r="AJ162" s="321">
        <v>0</v>
      </c>
      <c r="AK162" s="40"/>
      <c r="AL162" s="321">
        <v>0</v>
      </c>
      <c r="AM162" s="40"/>
      <c r="AN162" s="321">
        <v>0</v>
      </c>
      <c r="AO162" s="74"/>
      <c r="AP162" s="321">
        <v>0</v>
      </c>
      <c r="AR162" s="321">
        <v>0</v>
      </c>
      <c r="AS162" s="40"/>
      <c r="AT162" s="321">
        <v>0</v>
      </c>
      <c r="AU162" s="40"/>
      <c r="AV162" s="321">
        <v>0</v>
      </c>
      <c r="AW162" s="40"/>
      <c r="AX162" s="321">
        <v>0</v>
      </c>
      <c r="AY162" s="74"/>
      <c r="AZ162" s="321">
        <f>AF162+AH162+AJ162+AL162+AN162+AP162+AR162+AT162+AV162+AX162</f>
        <v>0</v>
      </c>
      <c r="BF162" s="55"/>
      <c r="BJ162" s="55"/>
      <c r="BN162" s="55"/>
      <c r="BR162" s="55"/>
      <c r="BV162" s="55"/>
      <c r="BZ162" s="55"/>
      <c r="CD162" s="55"/>
      <c r="CH162" s="55"/>
      <c r="CL162" s="55"/>
      <c r="CP162" s="55"/>
    </row>
    <row r="163" spans="1:94" outlineLevel="1" x14ac:dyDescent="0.25">
      <c r="A163" s="73" t="s">
        <v>30</v>
      </c>
      <c r="B163" s="10"/>
      <c r="C163" s="13" t="s">
        <v>37</v>
      </c>
      <c r="E163" s="62"/>
      <c r="F163" s="63"/>
      <c r="J163" s="74">
        <f>E163*F163</f>
        <v>0</v>
      </c>
      <c r="L163" s="74">
        <v>0</v>
      </c>
      <c r="M163" s="40"/>
      <c r="N163" s="74">
        <v>0</v>
      </c>
      <c r="O163" s="40"/>
      <c r="P163" s="74">
        <v>0</v>
      </c>
      <c r="Q163" s="40"/>
      <c r="R163" s="74">
        <v>0</v>
      </c>
      <c r="S163" s="74"/>
      <c r="T163" s="74">
        <v>0</v>
      </c>
      <c r="V163" s="74">
        <v>0</v>
      </c>
      <c r="W163" s="40"/>
      <c r="X163" s="74">
        <v>0</v>
      </c>
      <c r="Y163" s="40"/>
      <c r="Z163" s="74">
        <v>0</v>
      </c>
      <c r="AA163" s="40"/>
      <c r="AB163" s="74">
        <v>0</v>
      </c>
      <c r="AC163" s="74"/>
      <c r="AD163" s="11">
        <f>J163+L163+N163+P163+R163+T163+V163+X163+Z163+AB163</f>
        <v>0</v>
      </c>
      <c r="AE163" s="74"/>
      <c r="AF163" s="321">
        <f>AA163*AB163</f>
        <v>0</v>
      </c>
      <c r="AH163" s="321">
        <v>0</v>
      </c>
      <c r="AI163" s="40"/>
      <c r="AJ163" s="321">
        <v>0</v>
      </c>
      <c r="AK163" s="40"/>
      <c r="AL163" s="321">
        <v>0</v>
      </c>
      <c r="AM163" s="40"/>
      <c r="AN163" s="321">
        <v>0</v>
      </c>
      <c r="AO163" s="74"/>
      <c r="AP163" s="321">
        <v>0</v>
      </c>
      <c r="AR163" s="321">
        <v>0</v>
      </c>
      <c r="AS163" s="40"/>
      <c r="AT163" s="321">
        <v>0</v>
      </c>
      <c r="AU163" s="40"/>
      <c r="AV163" s="321">
        <v>0</v>
      </c>
      <c r="AW163" s="40"/>
      <c r="AX163" s="321">
        <v>0</v>
      </c>
      <c r="AY163" s="74"/>
      <c r="AZ163" s="331">
        <f>AF163+AH163+AJ163+AL163+AN163+AP163+AR163+AT163+AV163+AX163</f>
        <v>0</v>
      </c>
      <c r="BF163" s="55"/>
      <c r="BJ163" s="55"/>
      <c r="BN163" s="55"/>
      <c r="BR163" s="55"/>
      <c r="BV163" s="55"/>
      <c r="BZ163" s="55"/>
      <c r="CD163" s="55"/>
      <c r="CH163" s="55"/>
      <c r="CL163" s="55"/>
      <c r="CP163" s="55"/>
    </row>
    <row r="164" spans="1:94" ht="9.6" customHeight="1" x14ac:dyDescent="0.25">
      <c r="B164" s="10"/>
      <c r="J164" s="14"/>
      <c r="L164" s="14"/>
      <c r="M164" s="40"/>
      <c r="N164" s="14"/>
      <c r="O164" s="40"/>
      <c r="P164" s="14"/>
      <c r="Q164" s="40"/>
      <c r="R164" s="14"/>
      <c r="S164" s="40"/>
      <c r="T164" s="14"/>
      <c r="V164" s="14"/>
      <c r="W164" s="40"/>
      <c r="X164" s="14"/>
      <c r="Y164" s="40"/>
      <c r="Z164" s="14"/>
      <c r="AA164" s="40"/>
      <c r="AB164" s="14"/>
      <c r="AC164" s="74"/>
      <c r="AD164" s="74"/>
      <c r="AF164" s="324"/>
      <c r="AH164" s="324"/>
      <c r="AI164" s="40"/>
      <c r="AJ164" s="324"/>
      <c r="AK164" s="40"/>
      <c r="AL164" s="324"/>
      <c r="AM164" s="40"/>
      <c r="AN164" s="324"/>
      <c r="AO164" s="40"/>
      <c r="AP164" s="324"/>
      <c r="AR164" s="324"/>
      <c r="AS164" s="40"/>
      <c r="AT164" s="324"/>
      <c r="AU164" s="40"/>
      <c r="AV164" s="324"/>
      <c r="AW164" s="40"/>
      <c r="AX164" s="324"/>
      <c r="AY164" s="74"/>
      <c r="AZ164" s="321"/>
      <c r="BF164" s="55"/>
      <c r="BJ164" s="55"/>
      <c r="BN164" s="55"/>
      <c r="BR164" s="55"/>
      <c r="BV164" s="55"/>
      <c r="BZ164" s="55"/>
      <c r="CD164" s="55"/>
      <c r="CH164" s="55"/>
      <c r="CL164" s="55"/>
      <c r="CP164" s="55"/>
    </row>
    <row r="165" spans="1:94" x14ac:dyDescent="0.25">
      <c r="B165" s="10"/>
      <c r="C165" s="73" t="s">
        <v>44</v>
      </c>
      <c r="J165" s="74">
        <f>SUM(J154:J163)</f>
        <v>0</v>
      </c>
      <c r="L165" s="74">
        <f>SUM(L154:L163)</f>
        <v>0</v>
      </c>
      <c r="M165" s="74"/>
      <c r="N165" s="74">
        <f>SUM(N154:N163)</f>
        <v>0</v>
      </c>
      <c r="O165" s="74"/>
      <c r="P165" s="74">
        <f>SUM(P154:P163)</f>
        <v>0</v>
      </c>
      <c r="Q165" s="74"/>
      <c r="R165" s="74">
        <f>SUM(R154:R163)</f>
        <v>0</v>
      </c>
      <c r="S165" s="74"/>
      <c r="T165" s="74">
        <f>SUM(T154:T163)</f>
        <v>0</v>
      </c>
      <c r="V165" s="74">
        <f>SUM(V154:V163)</f>
        <v>0</v>
      </c>
      <c r="W165" s="74"/>
      <c r="X165" s="74">
        <f>SUM(X154:X163)</f>
        <v>0</v>
      </c>
      <c r="Y165" s="74"/>
      <c r="Z165" s="74">
        <f>SUM(Z154:Z163)</f>
        <v>0</v>
      </c>
      <c r="AA165" s="74"/>
      <c r="AB165" s="74">
        <f>SUM(AB154:AB163)</f>
        <v>0</v>
      </c>
      <c r="AC165" s="74"/>
      <c r="AD165" s="74">
        <f>J165+L165+N165+P165+R165+T165+V165+X165+Z165+AB165</f>
        <v>0</v>
      </c>
      <c r="AE165" s="74"/>
      <c r="AF165" s="321">
        <f>SUM(AF154:AF163)</f>
        <v>0</v>
      </c>
      <c r="AH165" s="321">
        <f>SUM(AH154:AH163)</f>
        <v>0</v>
      </c>
      <c r="AI165" s="74"/>
      <c r="AJ165" s="321">
        <f>SUM(AJ154:AJ163)</f>
        <v>0</v>
      </c>
      <c r="AK165" s="74"/>
      <c r="AL165" s="321">
        <f>SUM(AL154:AL163)</f>
        <v>0</v>
      </c>
      <c r="AM165" s="74"/>
      <c r="AN165" s="321">
        <f>SUM(AN154:AN163)</f>
        <v>0</v>
      </c>
      <c r="AO165" s="74"/>
      <c r="AP165" s="321">
        <f>SUM(AP154:AP163)</f>
        <v>0</v>
      </c>
      <c r="AR165" s="321">
        <f>SUM(AR154:AR163)</f>
        <v>0</v>
      </c>
      <c r="AS165" s="74"/>
      <c r="AT165" s="321">
        <f>SUM(AT154:AT163)</f>
        <v>0</v>
      </c>
      <c r="AU165" s="74"/>
      <c r="AV165" s="321">
        <f>SUM(AV154:AV163)</f>
        <v>0</v>
      </c>
      <c r="AW165" s="74"/>
      <c r="AX165" s="321">
        <f>SUM(AX154:AX163)</f>
        <v>0</v>
      </c>
      <c r="AY165" s="74"/>
      <c r="AZ165" s="321">
        <f>AF165+AH165+AJ165+AL165+AN165+AP165+AR165+AT165+AV165+AX165</f>
        <v>0</v>
      </c>
      <c r="BF165" s="55"/>
      <c r="BJ165" s="55"/>
      <c r="BN165" s="55"/>
      <c r="BR165" s="55"/>
      <c r="BV165" s="55"/>
      <c r="BZ165" s="55"/>
      <c r="CD165" s="55"/>
      <c r="CH165" s="55"/>
      <c r="CL165" s="55"/>
      <c r="CP165" s="55"/>
    </row>
    <row r="166" spans="1:94" x14ac:dyDescent="0.25">
      <c r="M166" s="40"/>
      <c r="N166" s="40"/>
      <c r="O166" s="40"/>
      <c r="P166" s="40"/>
      <c r="Q166" s="40"/>
      <c r="R166" s="40"/>
      <c r="S166" s="40"/>
      <c r="W166" s="40"/>
      <c r="X166" s="40"/>
      <c r="Y166" s="40"/>
      <c r="Z166" s="40"/>
      <c r="AA166" s="40"/>
      <c r="AB166" s="40"/>
      <c r="AC166" s="40"/>
      <c r="AD166" s="74"/>
      <c r="AI166" s="40"/>
      <c r="AJ166" s="85"/>
      <c r="AK166" s="40"/>
      <c r="AL166" s="85"/>
      <c r="AM166" s="40"/>
      <c r="AN166" s="85"/>
      <c r="AO166" s="40"/>
      <c r="AS166" s="40"/>
      <c r="AT166" s="85"/>
      <c r="AU166" s="40"/>
      <c r="AV166" s="85"/>
      <c r="AW166" s="40"/>
      <c r="AX166" s="85"/>
      <c r="AY166" s="40"/>
      <c r="AZ166" s="321"/>
      <c r="BF166" s="55"/>
      <c r="BJ166" s="55"/>
      <c r="BN166" s="55"/>
      <c r="BR166" s="55"/>
      <c r="BV166" s="55"/>
      <c r="BZ166" s="55"/>
      <c r="CD166" s="55"/>
      <c r="CH166" s="55"/>
      <c r="CL166" s="55"/>
      <c r="CP166" s="55"/>
    </row>
    <row r="167" spans="1:94" x14ac:dyDescent="0.25">
      <c r="B167" s="10" t="s">
        <v>11</v>
      </c>
      <c r="C167" s="10" t="s">
        <v>12</v>
      </c>
      <c r="M167" s="40"/>
      <c r="N167" s="40"/>
      <c r="O167" s="40"/>
      <c r="P167" s="40"/>
      <c r="Q167" s="40"/>
      <c r="R167" s="40"/>
      <c r="S167" s="40"/>
      <c r="W167" s="40"/>
      <c r="X167" s="40"/>
      <c r="Y167" s="40"/>
      <c r="Z167" s="40"/>
      <c r="AA167" s="40"/>
      <c r="AB167" s="40"/>
      <c r="AC167" s="40"/>
      <c r="AD167" s="74"/>
      <c r="AI167" s="40"/>
      <c r="AJ167" s="85"/>
      <c r="AK167" s="40"/>
      <c r="AL167" s="85"/>
      <c r="AM167" s="40"/>
      <c r="AN167" s="85"/>
      <c r="AO167" s="40"/>
      <c r="AS167" s="40"/>
      <c r="AT167" s="85"/>
      <c r="AU167" s="40"/>
      <c r="AV167" s="85"/>
      <c r="AW167" s="40"/>
      <c r="AX167" s="85"/>
      <c r="AY167" s="40"/>
      <c r="AZ167" s="321"/>
      <c r="BF167" s="55"/>
      <c r="BJ167" s="55"/>
      <c r="BN167" s="55"/>
      <c r="BR167" s="55"/>
      <c r="BV167" s="55"/>
      <c r="BZ167" s="55"/>
      <c r="CD167" s="55"/>
      <c r="CH167" s="55"/>
      <c r="CL167" s="55"/>
      <c r="CP167" s="55"/>
    </row>
    <row r="168" spans="1:94" x14ac:dyDescent="0.25">
      <c r="A168" s="32"/>
      <c r="B168" s="10"/>
      <c r="C168" s="73" t="s">
        <v>45</v>
      </c>
      <c r="M168" s="40"/>
      <c r="N168" s="40"/>
      <c r="O168" s="40"/>
      <c r="P168" s="40"/>
      <c r="Q168" s="40"/>
      <c r="R168" s="40"/>
      <c r="S168" s="40"/>
      <c r="W168" s="40"/>
      <c r="X168" s="40"/>
      <c r="Y168" s="40"/>
      <c r="Z168" s="40"/>
      <c r="AA168" s="40"/>
      <c r="AB168" s="40"/>
      <c r="AC168" s="40"/>
      <c r="AD168" s="74"/>
      <c r="AI168" s="40"/>
      <c r="AJ168" s="85"/>
      <c r="AK168" s="40"/>
      <c r="AL168" s="85"/>
      <c r="AM168" s="40"/>
      <c r="AN168" s="85"/>
      <c r="AO168" s="40"/>
      <c r="AS168" s="40"/>
      <c r="AT168" s="85"/>
      <c r="AU168" s="40"/>
      <c r="AV168" s="85"/>
      <c r="AW168" s="40"/>
      <c r="AX168" s="85"/>
      <c r="AY168" s="40"/>
      <c r="AZ168" s="321"/>
      <c r="BF168" s="55"/>
      <c r="BJ168" s="55"/>
      <c r="BN168" s="55"/>
      <c r="BR168" s="55"/>
      <c r="BV168" s="55"/>
      <c r="BZ168" s="55"/>
      <c r="CD168" s="55"/>
      <c r="CH168" s="55"/>
      <c r="CL168" s="55"/>
      <c r="CP168" s="55"/>
    </row>
    <row r="169" spans="1:94" x14ac:dyDescent="0.25">
      <c r="A169" s="32" t="s">
        <v>45</v>
      </c>
      <c r="B169" s="10"/>
      <c r="C169" s="13"/>
      <c r="D169" s="73" t="s">
        <v>261</v>
      </c>
      <c r="E169" s="13"/>
      <c r="J169" s="74">
        <v>0</v>
      </c>
      <c r="L169" s="74">
        <v>0</v>
      </c>
      <c r="M169" s="40"/>
      <c r="N169" s="74">
        <v>0</v>
      </c>
      <c r="O169" s="40"/>
      <c r="P169" s="74">
        <v>0</v>
      </c>
      <c r="Q169" s="40"/>
      <c r="R169" s="74">
        <v>0</v>
      </c>
      <c r="S169" s="74"/>
      <c r="T169" s="74">
        <v>0</v>
      </c>
      <c r="V169" s="74">
        <v>0</v>
      </c>
      <c r="W169" s="40"/>
      <c r="X169" s="74">
        <v>0</v>
      </c>
      <c r="Y169" s="40"/>
      <c r="Z169" s="74">
        <v>0</v>
      </c>
      <c r="AA169" s="40"/>
      <c r="AB169" s="74">
        <v>0</v>
      </c>
      <c r="AC169" s="74"/>
      <c r="AD169" s="74">
        <f t="shared" ref="AD169:AD174" si="45">J169+L169+N169+P169+R169+T169+V169+X169+Z169+AB169</f>
        <v>0</v>
      </c>
      <c r="AE169" s="74"/>
      <c r="AF169" s="321">
        <v>0</v>
      </c>
      <c r="AH169" s="321">
        <v>0</v>
      </c>
      <c r="AI169" s="40"/>
      <c r="AJ169" s="321">
        <v>0</v>
      </c>
      <c r="AK169" s="40"/>
      <c r="AL169" s="321">
        <v>0</v>
      </c>
      <c r="AM169" s="40"/>
      <c r="AN169" s="321">
        <v>0</v>
      </c>
      <c r="AO169" s="74"/>
      <c r="AP169" s="321">
        <v>0</v>
      </c>
      <c r="AR169" s="321">
        <v>0</v>
      </c>
      <c r="AS169" s="40"/>
      <c r="AT169" s="321">
        <v>0</v>
      </c>
      <c r="AU169" s="40"/>
      <c r="AV169" s="321">
        <v>0</v>
      </c>
      <c r="AW169" s="40"/>
      <c r="AX169" s="321">
        <v>0</v>
      </c>
      <c r="AY169" s="74"/>
      <c r="AZ169" s="321">
        <f t="shared" ref="AZ169:AZ174" si="46">AF169+AH169+AJ169+AL169+AN169+AP169+AR169+AT169+AV169+AX169</f>
        <v>0</v>
      </c>
      <c r="BF169" s="55"/>
      <c r="BJ169" s="55"/>
      <c r="BN169" s="55"/>
      <c r="BR169" s="55"/>
      <c r="BV169" s="55"/>
      <c r="BZ169" s="55"/>
      <c r="CD169" s="55"/>
      <c r="CH169" s="55"/>
      <c r="CL169" s="55"/>
      <c r="CP169" s="55"/>
    </row>
    <row r="170" spans="1:94" x14ac:dyDescent="0.25">
      <c r="A170" s="32" t="s">
        <v>45</v>
      </c>
      <c r="B170" s="10"/>
      <c r="D170" s="73" t="s">
        <v>210</v>
      </c>
      <c r="E170" s="13"/>
      <c r="J170" s="74">
        <v>0</v>
      </c>
      <c r="L170" s="74">
        <v>0</v>
      </c>
      <c r="M170" s="40"/>
      <c r="N170" s="74">
        <v>0</v>
      </c>
      <c r="O170" s="40"/>
      <c r="P170" s="74">
        <v>0</v>
      </c>
      <c r="Q170" s="40"/>
      <c r="R170" s="74">
        <v>0</v>
      </c>
      <c r="S170" s="74"/>
      <c r="T170" s="74">
        <v>0</v>
      </c>
      <c r="V170" s="74">
        <v>0</v>
      </c>
      <c r="W170" s="40"/>
      <c r="X170" s="74">
        <v>0</v>
      </c>
      <c r="Y170" s="40"/>
      <c r="Z170" s="74">
        <v>0</v>
      </c>
      <c r="AA170" s="40"/>
      <c r="AB170" s="74">
        <v>0</v>
      </c>
      <c r="AC170" s="74"/>
      <c r="AD170" s="74">
        <f t="shared" si="45"/>
        <v>0</v>
      </c>
      <c r="AE170" s="74"/>
      <c r="AF170" s="321">
        <v>0</v>
      </c>
      <c r="AH170" s="321">
        <v>0</v>
      </c>
      <c r="AI170" s="40"/>
      <c r="AJ170" s="321">
        <v>0</v>
      </c>
      <c r="AK170" s="40"/>
      <c r="AL170" s="321">
        <v>0</v>
      </c>
      <c r="AM170" s="40"/>
      <c r="AN170" s="321">
        <v>0</v>
      </c>
      <c r="AO170" s="74"/>
      <c r="AP170" s="321">
        <v>0</v>
      </c>
      <c r="AR170" s="321">
        <v>0</v>
      </c>
      <c r="AS170" s="40"/>
      <c r="AT170" s="321">
        <v>0</v>
      </c>
      <c r="AU170" s="40"/>
      <c r="AV170" s="321">
        <v>0</v>
      </c>
      <c r="AW170" s="40"/>
      <c r="AX170" s="321">
        <v>0</v>
      </c>
      <c r="AY170" s="74"/>
      <c r="AZ170" s="321">
        <f t="shared" si="46"/>
        <v>0</v>
      </c>
      <c r="BF170" s="55"/>
      <c r="BJ170" s="55"/>
      <c r="BN170" s="55"/>
      <c r="BR170" s="55"/>
      <c r="BV170" s="55"/>
      <c r="BZ170" s="55"/>
      <c r="CD170" s="55"/>
      <c r="CH170" s="55"/>
      <c r="CL170" s="55"/>
      <c r="CP170" s="55"/>
    </row>
    <row r="171" spans="1:94" x14ac:dyDescent="0.25">
      <c r="A171" s="32" t="s">
        <v>45</v>
      </c>
      <c r="B171" s="10"/>
      <c r="D171" s="73" t="s">
        <v>217</v>
      </c>
      <c r="J171" s="74">
        <v>0</v>
      </c>
      <c r="L171" s="74">
        <v>0</v>
      </c>
      <c r="M171" s="40"/>
      <c r="N171" s="74">
        <v>0</v>
      </c>
      <c r="O171" s="40"/>
      <c r="P171" s="74">
        <v>0</v>
      </c>
      <c r="Q171" s="40"/>
      <c r="R171" s="74">
        <v>0</v>
      </c>
      <c r="S171" s="74"/>
      <c r="T171" s="74">
        <v>0</v>
      </c>
      <c r="V171" s="74">
        <v>0</v>
      </c>
      <c r="W171" s="40"/>
      <c r="X171" s="74">
        <v>0</v>
      </c>
      <c r="Y171" s="40"/>
      <c r="Z171" s="74">
        <v>0</v>
      </c>
      <c r="AA171" s="40"/>
      <c r="AB171" s="74">
        <v>0</v>
      </c>
      <c r="AC171" s="74"/>
      <c r="AD171" s="74">
        <f t="shared" si="45"/>
        <v>0</v>
      </c>
      <c r="AE171" s="74"/>
      <c r="AF171" s="321">
        <v>0</v>
      </c>
      <c r="AH171" s="321">
        <v>0</v>
      </c>
      <c r="AI171" s="40"/>
      <c r="AJ171" s="321">
        <v>0</v>
      </c>
      <c r="AK171" s="40"/>
      <c r="AL171" s="321">
        <v>0</v>
      </c>
      <c r="AM171" s="40"/>
      <c r="AN171" s="321">
        <v>0</v>
      </c>
      <c r="AO171" s="74"/>
      <c r="AP171" s="321">
        <v>0</v>
      </c>
      <c r="AR171" s="321">
        <v>0</v>
      </c>
      <c r="AS171" s="40"/>
      <c r="AT171" s="321">
        <v>0</v>
      </c>
      <c r="AU171" s="40"/>
      <c r="AV171" s="321">
        <v>0</v>
      </c>
      <c r="AW171" s="40"/>
      <c r="AX171" s="321">
        <v>0</v>
      </c>
      <c r="AY171" s="74"/>
      <c r="AZ171" s="321">
        <f t="shared" si="46"/>
        <v>0</v>
      </c>
      <c r="BF171" s="55"/>
      <c r="BJ171" s="55"/>
      <c r="BN171" s="55"/>
      <c r="BR171" s="55"/>
      <c r="BV171" s="55"/>
      <c r="BZ171" s="55"/>
      <c r="CD171" s="55"/>
      <c r="CH171" s="55"/>
      <c r="CL171" s="55"/>
      <c r="CP171" s="55"/>
    </row>
    <row r="172" spans="1:94" x14ac:dyDescent="0.25">
      <c r="A172" s="32" t="s">
        <v>45</v>
      </c>
      <c r="B172" s="10"/>
      <c r="C172" s="13"/>
      <c r="D172" s="13" t="s">
        <v>262</v>
      </c>
      <c r="J172" s="74">
        <v>0</v>
      </c>
      <c r="L172" s="74">
        <v>0</v>
      </c>
      <c r="M172" s="40"/>
      <c r="N172" s="74">
        <v>0</v>
      </c>
      <c r="O172" s="40"/>
      <c r="P172" s="74">
        <v>0</v>
      </c>
      <c r="Q172" s="40"/>
      <c r="R172" s="74">
        <v>0</v>
      </c>
      <c r="S172" s="74"/>
      <c r="T172" s="74">
        <v>0</v>
      </c>
      <c r="V172" s="74">
        <v>0</v>
      </c>
      <c r="W172" s="40"/>
      <c r="X172" s="74">
        <v>0</v>
      </c>
      <c r="Y172" s="40"/>
      <c r="Z172" s="74">
        <v>0</v>
      </c>
      <c r="AA172" s="40"/>
      <c r="AB172" s="74">
        <v>0</v>
      </c>
      <c r="AC172" s="74"/>
      <c r="AD172" s="74">
        <f t="shared" si="45"/>
        <v>0</v>
      </c>
      <c r="AE172" s="74"/>
      <c r="AF172" s="321">
        <v>0</v>
      </c>
      <c r="AH172" s="321">
        <v>0</v>
      </c>
      <c r="AI172" s="40"/>
      <c r="AJ172" s="321">
        <v>0</v>
      </c>
      <c r="AK172" s="40"/>
      <c r="AL172" s="321">
        <v>0</v>
      </c>
      <c r="AM172" s="40"/>
      <c r="AN172" s="321">
        <v>0</v>
      </c>
      <c r="AO172" s="74"/>
      <c r="AP172" s="321">
        <v>0</v>
      </c>
      <c r="AR172" s="321">
        <v>0</v>
      </c>
      <c r="AS172" s="40"/>
      <c r="AT172" s="321">
        <v>0</v>
      </c>
      <c r="AU172" s="40"/>
      <c r="AV172" s="321">
        <v>0</v>
      </c>
      <c r="AW172" s="40"/>
      <c r="AX172" s="321">
        <v>0</v>
      </c>
      <c r="AY172" s="74"/>
      <c r="AZ172" s="321">
        <f t="shared" si="46"/>
        <v>0</v>
      </c>
      <c r="BF172" s="55"/>
      <c r="BJ172" s="55"/>
      <c r="BN172" s="55"/>
      <c r="BR172" s="55"/>
      <c r="BV172" s="55"/>
      <c r="BZ172" s="55"/>
      <c r="CD172" s="55"/>
      <c r="CH172" s="55"/>
      <c r="CL172" s="55"/>
      <c r="CP172" s="55"/>
    </row>
    <row r="173" spans="1:94" x14ac:dyDescent="0.25">
      <c r="A173" s="32" t="s">
        <v>45</v>
      </c>
      <c r="B173" s="10"/>
      <c r="C173" s="13"/>
      <c r="D173" s="13" t="s">
        <v>263</v>
      </c>
      <c r="E173" s="13"/>
      <c r="J173" s="74">
        <v>0</v>
      </c>
      <c r="L173" s="74">
        <v>0</v>
      </c>
      <c r="M173" s="40"/>
      <c r="N173" s="74">
        <v>0</v>
      </c>
      <c r="O173" s="40"/>
      <c r="P173" s="74">
        <v>0</v>
      </c>
      <c r="Q173" s="40"/>
      <c r="R173" s="74">
        <v>0</v>
      </c>
      <c r="S173" s="74"/>
      <c r="T173" s="74">
        <v>0</v>
      </c>
      <c r="V173" s="74">
        <v>0</v>
      </c>
      <c r="W173" s="40"/>
      <c r="X173" s="74">
        <v>0</v>
      </c>
      <c r="Y173" s="40"/>
      <c r="Z173" s="74">
        <v>0</v>
      </c>
      <c r="AA173" s="40"/>
      <c r="AB173" s="74">
        <v>0</v>
      </c>
      <c r="AC173" s="74"/>
      <c r="AD173" s="74">
        <f t="shared" si="45"/>
        <v>0</v>
      </c>
      <c r="AE173" s="74"/>
      <c r="AF173" s="321">
        <v>0</v>
      </c>
      <c r="AH173" s="321">
        <v>0</v>
      </c>
      <c r="AI173" s="40"/>
      <c r="AJ173" s="321">
        <v>0</v>
      </c>
      <c r="AK173" s="40"/>
      <c r="AL173" s="321">
        <v>0</v>
      </c>
      <c r="AM173" s="40"/>
      <c r="AN173" s="321">
        <v>0</v>
      </c>
      <c r="AO173" s="74"/>
      <c r="AP173" s="321">
        <v>0</v>
      </c>
      <c r="AR173" s="321">
        <v>0</v>
      </c>
      <c r="AS173" s="40"/>
      <c r="AT173" s="321">
        <v>0</v>
      </c>
      <c r="AU173" s="40"/>
      <c r="AV173" s="321">
        <v>0</v>
      </c>
      <c r="AW173" s="40"/>
      <c r="AX173" s="321">
        <v>0</v>
      </c>
      <c r="AY173" s="74"/>
      <c r="AZ173" s="321">
        <f t="shared" si="46"/>
        <v>0</v>
      </c>
      <c r="BF173" s="55"/>
      <c r="BJ173" s="55"/>
      <c r="BN173" s="55"/>
      <c r="BR173" s="55"/>
      <c r="BV173" s="55"/>
      <c r="BZ173" s="55"/>
      <c r="CD173" s="55"/>
      <c r="CH173" s="55"/>
      <c r="CL173" s="55"/>
      <c r="CP173" s="55"/>
    </row>
    <row r="174" spans="1:94" x14ac:dyDescent="0.25">
      <c r="A174" s="32" t="s">
        <v>26</v>
      </c>
      <c r="B174" s="10"/>
      <c r="C174" s="73" t="s">
        <v>26</v>
      </c>
      <c r="E174" s="13"/>
      <c r="F174" s="23"/>
      <c r="G174" s="23"/>
      <c r="H174" s="24"/>
      <c r="I174" s="24"/>
      <c r="J174" s="74">
        <v>0</v>
      </c>
      <c r="L174" s="74">
        <v>0</v>
      </c>
      <c r="M174" s="40"/>
      <c r="N174" s="74">
        <v>0</v>
      </c>
      <c r="O174" s="40"/>
      <c r="P174" s="74">
        <v>0</v>
      </c>
      <c r="Q174" s="40"/>
      <c r="R174" s="74">
        <v>0</v>
      </c>
      <c r="S174" s="40"/>
      <c r="T174" s="74">
        <v>0</v>
      </c>
      <c r="V174" s="74">
        <v>0</v>
      </c>
      <c r="W174" s="40"/>
      <c r="X174" s="74">
        <v>0</v>
      </c>
      <c r="Y174" s="40"/>
      <c r="Z174" s="74">
        <v>0</v>
      </c>
      <c r="AA174" s="40"/>
      <c r="AB174" s="74">
        <v>0</v>
      </c>
      <c r="AC174" s="74"/>
      <c r="AD174" s="74">
        <f t="shared" si="45"/>
        <v>0</v>
      </c>
      <c r="AE174" s="74"/>
      <c r="AF174" s="321">
        <v>0</v>
      </c>
      <c r="AH174" s="321">
        <v>0</v>
      </c>
      <c r="AI174" s="40"/>
      <c r="AJ174" s="321">
        <v>0</v>
      </c>
      <c r="AK174" s="40"/>
      <c r="AL174" s="321">
        <v>0</v>
      </c>
      <c r="AM174" s="40"/>
      <c r="AN174" s="321">
        <v>0</v>
      </c>
      <c r="AO174" s="40"/>
      <c r="AP174" s="321">
        <v>0</v>
      </c>
      <c r="AR174" s="321">
        <v>0</v>
      </c>
      <c r="AS174" s="40"/>
      <c r="AT174" s="321">
        <v>0</v>
      </c>
      <c r="AU174" s="40"/>
      <c r="AV174" s="321">
        <v>0</v>
      </c>
      <c r="AW174" s="40"/>
      <c r="AX174" s="321">
        <v>0</v>
      </c>
      <c r="AY174" s="74"/>
      <c r="AZ174" s="321">
        <f t="shared" si="46"/>
        <v>0</v>
      </c>
      <c r="BF174" s="55"/>
      <c r="BJ174" s="55"/>
      <c r="BN174" s="55"/>
      <c r="BR174" s="55"/>
      <c r="BV174" s="55"/>
      <c r="BZ174" s="55"/>
      <c r="CD174" s="55"/>
      <c r="CH174" s="55"/>
      <c r="CL174" s="55"/>
      <c r="CP174" s="55"/>
    </row>
    <row r="175" spans="1:94" x14ac:dyDescent="0.25">
      <c r="A175" s="32"/>
      <c r="B175" s="10"/>
      <c r="C175" s="73" t="s">
        <v>27</v>
      </c>
      <c r="E175" s="13"/>
      <c r="G175" s="73"/>
      <c r="H175" s="73"/>
      <c r="M175" s="40"/>
      <c r="N175" s="74"/>
      <c r="O175" s="40"/>
      <c r="P175" s="74"/>
      <c r="Q175" s="40"/>
      <c r="R175" s="74"/>
      <c r="S175" s="74"/>
      <c r="W175" s="40"/>
      <c r="X175" s="74"/>
      <c r="Y175" s="40"/>
      <c r="Z175" s="74"/>
      <c r="AA175" s="40"/>
      <c r="AB175" s="74"/>
      <c r="AC175" s="74"/>
      <c r="AD175" s="74"/>
      <c r="AE175" s="74"/>
      <c r="AI175" s="40"/>
      <c r="AJ175" s="321"/>
      <c r="AK175" s="40"/>
      <c r="AL175" s="321"/>
      <c r="AM175" s="40"/>
      <c r="AN175" s="321"/>
      <c r="AO175" s="74"/>
      <c r="AS175" s="40"/>
      <c r="AT175" s="321"/>
      <c r="AU175" s="40"/>
      <c r="AV175" s="321"/>
      <c r="AW175" s="40"/>
      <c r="AX175" s="321"/>
      <c r="AY175" s="74"/>
      <c r="AZ175" s="321"/>
      <c r="BF175" s="55"/>
      <c r="BJ175" s="55"/>
      <c r="BN175" s="55"/>
      <c r="BR175" s="55"/>
      <c r="BV175" s="55"/>
      <c r="BZ175" s="55"/>
      <c r="CD175" s="55"/>
      <c r="CH175" s="55"/>
      <c r="CL175" s="55"/>
      <c r="CP175" s="55"/>
    </row>
    <row r="176" spans="1:94" x14ac:dyDescent="0.25">
      <c r="A176" s="32" t="s">
        <v>248</v>
      </c>
      <c r="B176" s="10"/>
      <c r="C176" s="13"/>
      <c r="D176" s="73" t="s">
        <v>90</v>
      </c>
      <c r="E176" s="13"/>
      <c r="G176" s="13"/>
      <c r="H176" s="73"/>
      <c r="J176" s="74">
        <v>0</v>
      </c>
      <c r="L176" s="74">
        <v>0</v>
      </c>
      <c r="M176" s="40"/>
      <c r="N176" s="74">
        <v>0</v>
      </c>
      <c r="O176" s="40"/>
      <c r="P176" s="74">
        <v>0</v>
      </c>
      <c r="Q176" s="40"/>
      <c r="R176" s="74">
        <v>0</v>
      </c>
      <c r="S176" s="74"/>
      <c r="T176" s="74">
        <v>0</v>
      </c>
      <c r="V176" s="74">
        <v>0</v>
      </c>
      <c r="W176" s="40"/>
      <c r="X176" s="74">
        <v>0</v>
      </c>
      <c r="Y176" s="40"/>
      <c r="Z176" s="74">
        <v>0</v>
      </c>
      <c r="AA176" s="40"/>
      <c r="AB176" s="74">
        <v>0</v>
      </c>
      <c r="AC176" s="74"/>
      <c r="AD176" s="74">
        <f>J176+L176+N176+P176+R176+T176+V176+X176+Z176+AB176</f>
        <v>0</v>
      </c>
      <c r="AE176" s="74"/>
      <c r="AF176" s="321">
        <v>0</v>
      </c>
      <c r="AH176" s="321">
        <v>0</v>
      </c>
      <c r="AI176" s="40"/>
      <c r="AJ176" s="321">
        <v>0</v>
      </c>
      <c r="AK176" s="40"/>
      <c r="AL176" s="321">
        <v>0</v>
      </c>
      <c r="AM176" s="40"/>
      <c r="AN176" s="321">
        <v>0</v>
      </c>
      <c r="AO176" s="74"/>
      <c r="AP176" s="321">
        <v>0</v>
      </c>
      <c r="AR176" s="321">
        <v>0</v>
      </c>
      <c r="AS176" s="40"/>
      <c r="AT176" s="321">
        <v>0</v>
      </c>
      <c r="AU176" s="40"/>
      <c r="AV176" s="321">
        <v>0</v>
      </c>
      <c r="AW176" s="40"/>
      <c r="AX176" s="321">
        <v>0</v>
      </c>
      <c r="AY176" s="74"/>
      <c r="AZ176" s="321">
        <f>AF176+AH176+AJ176+AL176+AN176+AP176+AR176+AT176+AV176+AX176</f>
        <v>0</v>
      </c>
      <c r="BF176" s="55"/>
      <c r="BJ176" s="55"/>
      <c r="BN176" s="55"/>
      <c r="BR176" s="55"/>
      <c r="BV176" s="55"/>
      <c r="BZ176" s="55"/>
      <c r="CD176" s="55"/>
      <c r="CH176" s="55"/>
      <c r="CL176" s="55"/>
      <c r="CP176" s="55"/>
    </row>
    <row r="177" spans="1:94" x14ac:dyDescent="0.25">
      <c r="A177" s="32" t="s">
        <v>244</v>
      </c>
      <c r="B177" s="10"/>
      <c r="C177" s="13" t="s">
        <v>244</v>
      </c>
      <c r="E177" s="13"/>
      <c r="J177" s="74">
        <v>0</v>
      </c>
      <c r="L177" s="74">
        <v>0</v>
      </c>
      <c r="M177" s="40"/>
      <c r="N177" s="74">
        <v>0</v>
      </c>
      <c r="O177" s="40"/>
      <c r="P177" s="74">
        <v>0</v>
      </c>
      <c r="Q177" s="40"/>
      <c r="R177" s="74">
        <v>0</v>
      </c>
      <c r="S177" s="74"/>
      <c r="T177" s="74">
        <v>0</v>
      </c>
      <c r="V177" s="74">
        <v>0</v>
      </c>
      <c r="W177" s="40"/>
      <c r="X177" s="74">
        <v>0</v>
      </c>
      <c r="Y177" s="40"/>
      <c r="Z177" s="74">
        <v>0</v>
      </c>
      <c r="AA177" s="40"/>
      <c r="AB177" s="74">
        <v>0</v>
      </c>
      <c r="AC177" s="74"/>
      <c r="AD177" s="74">
        <f>J177+L177+N177+P177+R177+T177+V177+X177+Z177+AB177</f>
        <v>0</v>
      </c>
      <c r="AE177" s="74"/>
      <c r="AF177" s="321">
        <v>0</v>
      </c>
      <c r="AH177" s="321">
        <v>0</v>
      </c>
      <c r="AI177" s="40"/>
      <c r="AJ177" s="321">
        <v>0</v>
      </c>
      <c r="AK177" s="40"/>
      <c r="AL177" s="321">
        <v>0</v>
      </c>
      <c r="AM177" s="40"/>
      <c r="AN177" s="321">
        <v>0</v>
      </c>
      <c r="AO177" s="74"/>
      <c r="AP177" s="321">
        <v>0</v>
      </c>
      <c r="AR177" s="321">
        <v>0</v>
      </c>
      <c r="AS177" s="40"/>
      <c r="AT177" s="321">
        <v>0</v>
      </c>
      <c r="AU177" s="40"/>
      <c r="AV177" s="321">
        <v>0</v>
      </c>
      <c r="AW177" s="40"/>
      <c r="AX177" s="321">
        <v>0</v>
      </c>
      <c r="AY177" s="74"/>
      <c r="AZ177" s="321">
        <f>AF177+AH177+AJ177+AL177+AN177+AP177+AR177+AT177+AV177+AX177</f>
        <v>0</v>
      </c>
      <c r="BF177" s="55"/>
      <c r="BJ177" s="55"/>
      <c r="BN177" s="55"/>
      <c r="BR177" s="55"/>
      <c r="BV177" s="55"/>
      <c r="BZ177" s="55"/>
      <c r="CD177" s="55"/>
      <c r="CH177" s="55"/>
      <c r="CL177" s="55"/>
      <c r="CP177" s="55"/>
    </row>
    <row r="178" spans="1:94" outlineLevel="1" x14ac:dyDescent="0.25">
      <c r="A178" s="32" t="s">
        <v>230</v>
      </c>
      <c r="B178" s="10"/>
      <c r="C178" s="73" t="s">
        <v>42</v>
      </c>
      <c r="E178" s="13"/>
      <c r="F178" s="18" t="s">
        <v>368</v>
      </c>
      <c r="G178" s="69">
        <v>0</v>
      </c>
      <c r="M178" s="74"/>
      <c r="N178" s="74"/>
      <c r="O178" s="74"/>
      <c r="P178" s="74"/>
      <c r="Q178" s="74"/>
      <c r="R178" s="74"/>
      <c r="S178" s="74"/>
      <c r="W178" s="74"/>
      <c r="X178" s="74"/>
      <c r="Y178" s="74"/>
      <c r="Z178" s="74"/>
      <c r="AA178" s="74"/>
      <c r="AB178" s="74"/>
      <c r="AC178" s="74"/>
      <c r="AD178" s="74"/>
      <c r="AE178" s="74"/>
      <c r="AI178" s="74"/>
      <c r="AJ178" s="321"/>
      <c r="AK178" s="74"/>
      <c r="AL178" s="321"/>
      <c r="AM178" s="74"/>
      <c r="AN178" s="321"/>
      <c r="AO178" s="74"/>
      <c r="AS178" s="74"/>
      <c r="AT178" s="321"/>
      <c r="AU178" s="74"/>
      <c r="AV178" s="321"/>
      <c r="AW178" s="74"/>
      <c r="AX178" s="321"/>
      <c r="AY178" s="74"/>
      <c r="AZ178" s="321"/>
      <c r="BF178" s="55"/>
      <c r="BJ178" s="55"/>
      <c r="BN178" s="55"/>
      <c r="BR178" s="55"/>
      <c r="BV178" s="55"/>
      <c r="BZ178" s="55"/>
      <c r="CD178" s="55"/>
      <c r="CH178" s="55"/>
      <c r="CL178" s="55"/>
      <c r="CP178" s="55"/>
    </row>
    <row r="179" spans="1:94" ht="30.95" customHeight="1" outlineLevel="1" x14ac:dyDescent="0.25">
      <c r="A179" s="32"/>
      <c r="B179" s="10"/>
      <c r="F179" s="412" t="s">
        <v>473</v>
      </c>
      <c r="G179" s="412"/>
      <c r="H179" s="412"/>
      <c r="I179" s="412"/>
      <c r="J179" s="412"/>
      <c r="K179" s="412"/>
      <c r="L179" s="412"/>
      <c r="M179" s="412"/>
      <c r="N179" s="412"/>
      <c r="O179" s="412"/>
      <c r="P179" s="412"/>
      <c r="Q179" s="412"/>
      <c r="R179" s="412"/>
      <c r="S179" s="412"/>
      <c r="T179" s="412"/>
      <c r="U179" s="412"/>
      <c r="V179" s="412"/>
      <c r="W179" s="412"/>
      <c r="X179" s="412"/>
      <c r="Y179" s="412"/>
      <c r="Z179" s="412"/>
      <c r="AA179" s="412"/>
      <c r="AB179" s="412"/>
      <c r="AC179" s="412"/>
      <c r="AD179" s="412"/>
      <c r="AE179" s="74"/>
      <c r="AF179" s="327"/>
      <c r="AG179" s="178"/>
      <c r="AH179" s="327"/>
      <c r="AI179" s="178"/>
      <c r="AJ179" s="327"/>
      <c r="AK179" s="178"/>
      <c r="AL179" s="327"/>
      <c r="AM179" s="74"/>
      <c r="AN179" s="321"/>
      <c r="AO179" s="74"/>
      <c r="AP179" s="327"/>
      <c r="AQ179" s="178"/>
      <c r="AR179" s="327"/>
      <c r="AS179" s="178"/>
      <c r="AT179" s="327"/>
      <c r="AU179" s="178"/>
      <c r="AV179" s="327"/>
      <c r="AW179" s="74"/>
      <c r="AX179" s="321"/>
      <c r="AY179" s="74"/>
      <c r="AZ179" s="321"/>
      <c r="BF179" s="55"/>
      <c r="BJ179" s="55"/>
      <c r="BN179" s="55"/>
      <c r="BR179" s="55"/>
      <c r="BV179" s="55"/>
      <c r="BZ179" s="55"/>
      <c r="CD179" s="55"/>
      <c r="CH179" s="55"/>
      <c r="CL179" s="55"/>
      <c r="CP179" s="55"/>
    </row>
    <row r="180" spans="1:94" outlineLevel="1" x14ac:dyDescent="0.25">
      <c r="A180" s="32" t="s">
        <v>230</v>
      </c>
      <c r="B180" s="10"/>
      <c r="D180" s="73" t="s">
        <v>91</v>
      </c>
      <c r="F180" s="65"/>
      <c r="H180" s="410" t="s">
        <v>347</v>
      </c>
      <c r="J180" s="74">
        <v>0</v>
      </c>
      <c r="L180" s="74">
        <v>0</v>
      </c>
      <c r="M180" s="40"/>
      <c r="N180" s="74">
        <v>0</v>
      </c>
      <c r="O180" s="40"/>
      <c r="P180" s="74">
        <v>0</v>
      </c>
      <c r="Q180" s="40"/>
      <c r="R180" s="74">
        <v>0</v>
      </c>
      <c r="S180" s="74"/>
      <c r="T180" s="74">
        <v>0</v>
      </c>
      <c r="V180" s="74">
        <v>0</v>
      </c>
      <c r="W180" s="40"/>
      <c r="X180" s="74">
        <v>0</v>
      </c>
      <c r="Y180" s="40"/>
      <c r="Z180" s="74">
        <v>0</v>
      </c>
      <c r="AA180" s="40"/>
      <c r="AB180" s="74">
        <v>0</v>
      </c>
      <c r="AC180" s="74"/>
      <c r="AD180" s="74">
        <f t="shared" ref="AD180:AD185" si="47">J180+L180+N180+P180+R180+T180+V180+X180+Z180+AB180</f>
        <v>0</v>
      </c>
      <c r="AE180" s="74"/>
      <c r="AF180" s="321">
        <v>0</v>
      </c>
      <c r="AH180" s="321">
        <v>0</v>
      </c>
      <c r="AI180" s="40"/>
      <c r="AJ180" s="321">
        <v>0</v>
      </c>
      <c r="AK180" s="40"/>
      <c r="AL180" s="321">
        <v>0</v>
      </c>
      <c r="AM180" s="40"/>
      <c r="AN180" s="321">
        <v>0</v>
      </c>
      <c r="AO180" s="74"/>
      <c r="AP180" s="321">
        <v>0</v>
      </c>
      <c r="AR180" s="321">
        <v>0</v>
      </c>
      <c r="AS180" s="40"/>
      <c r="AT180" s="321">
        <v>0</v>
      </c>
      <c r="AU180" s="40"/>
      <c r="AV180" s="321">
        <v>0</v>
      </c>
      <c r="AW180" s="40"/>
      <c r="AX180" s="321">
        <v>0</v>
      </c>
      <c r="AY180" s="74"/>
      <c r="AZ180" s="321">
        <f t="shared" ref="AZ180:AZ185" si="48">AF180+AH180+AJ180+AL180+AN180+AP180+AR180+AT180+AV180+AX180</f>
        <v>0</v>
      </c>
      <c r="BE180" s="68"/>
      <c r="BF180" s="55"/>
      <c r="BJ180" s="55"/>
      <c r="BN180" s="55"/>
      <c r="BR180" s="55"/>
      <c r="BV180" s="55"/>
      <c r="BZ180" s="55"/>
      <c r="CD180" s="55"/>
      <c r="CH180" s="55"/>
      <c r="CL180" s="55"/>
      <c r="CP180" s="55"/>
    </row>
    <row r="181" spans="1:94" outlineLevel="1" x14ac:dyDescent="0.25">
      <c r="A181" s="32" t="s">
        <v>230</v>
      </c>
      <c r="B181" s="10"/>
      <c r="D181" s="411" t="s">
        <v>496</v>
      </c>
      <c r="F181" s="65"/>
      <c r="G181" s="65"/>
      <c r="H181" s="410" t="s">
        <v>495</v>
      </c>
      <c r="J181" s="74">
        <v>0</v>
      </c>
      <c r="L181" s="74">
        <v>0</v>
      </c>
      <c r="M181" s="74"/>
      <c r="N181" s="74">
        <v>0</v>
      </c>
      <c r="O181" s="74"/>
      <c r="P181" s="74">
        <v>0</v>
      </c>
      <c r="Q181" s="74"/>
      <c r="R181" s="74">
        <v>0</v>
      </c>
      <c r="S181" s="74"/>
      <c r="T181" s="74">
        <v>0</v>
      </c>
      <c r="V181" s="74">
        <v>0</v>
      </c>
      <c r="W181" s="74"/>
      <c r="X181" s="74">
        <v>0</v>
      </c>
      <c r="Y181" s="74"/>
      <c r="Z181" s="74">
        <v>0</v>
      </c>
      <c r="AA181" s="74"/>
      <c r="AB181" s="74">
        <v>0</v>
      </c>
      <c r="AC181" s="74"/>
      <c r="AD181" s="74">
        <f t="shared" si="47"/>
        <v>0</v>
      </c>
      <c r="AE181" s="74"/>
      <c r="AF181" s="321">
        <v>0</v>
      </c>
      <c r="AH181" s="321">
        <v>0</v>
      </c>
      <c r="AI181" s="74"/>
      <c r="AJ181" s="321">
        <v>0</v>
      </c>
      <c r="AK181" s="74"/>
      <c r="AL181" s="321">
        <v>0</v>
      </c>
      <c r="AM181" s="74"/>
      <c r="AN181" s="321">
        <v>0</v>
      </c>
      <c r="AO181" s="74"/>
      <c r="AP181" s="321">
        <v>0</v>
      </c>
      <c r="AR181" s="321">
        <v>0</v>
      </c>
      <c r="AS181" s="74"/>
      <c r="AT181" s="321">
        <v>0</v>
      </c>
      <c r="AU181" s="74"/>
      <c r="AV181" s="321">
        <v>0</v>
      </c>
      <c r="AW181" s="74"/>
      <c r="AX181" s="321">
        <v>0</v>
      </c>
      <c r="AY181" s="74"/>
      <c r="AZ181" s="321">
        <f t="shared" si="48"/>
        <v>0</v>
      </c>
      <c r="BF181" s="55"/>
      <c r="BJ181" s="55"/>
      <c r="BN181" s="55"/>
      <c r="BR181" s="55"/>
      <c r="BV181" s="55"/>
      <c r="BZ181" s="55"/>
      <c r="CD181" s="55"/>
      <c r="CH181" s="55"/>
      <c r="CL181" s="55"/>
      <c r="CP181" s="55"/>
    </row>
    <row r="182" spans="1:94" outlineLevel="1" x14ac:dyDescent="0.25">
      <c r="A182" s="32" t="s">
        <v>230</v>
      </c>
      <c r="B182" s="10"/>
      <c r="D182" s="73" t="s">
        <v>92</v>
      </c>
      <c r="F182" s="65"/>
      <c r="G182" s="65"/>
      <c r="H182" s="410" t="s">
        <v>347</v>
      </c>
      <c r="J182" s="74">
        <v>0</v>
      </c>
      <c r="L182" s="74">
        <v>0</v>
      </c>
      <c r="M182" s="40"/>
      <c r="N182" s="74">
        <v>0</v>
      </c>
      <c r="O182" s="40"/>
      <c r="P182" s="74">
        <v>0</v>
      </c>
      <c r="Q182" s="40"/>
      <c r="R182" s="74">
        <v>0</v>
      </c>
      <c r="S182" s="74"/>
      <c r="T182" s="74">
        <v>0</v>
      </c>
      <c r="V182" s="74">
        <v>0</v>
      </c>
      <c r="W182" s="40"/>
      <c r="X182" s="74">
        <v>0</v>
      </c>
      <c r="Y182" s="40"/>
      <c r="Z182" s="74">
        <v>0</v>
      </c>
      <c r="AA182" s="40"/>
      <c r="AB182" s="74">
        <v>0</v>
      </c>
      <c r="AC182" s="74"/>
      <c r="AD182" s="74">
        <f t="shared" si="47"/>
        <v>0</v>
      </c>
      <c r="AE182" s="74"/>
      <c r="AF182" s="321">
        <v>0</v>
      </c>
      <c r="AH182" s="321">
        <v>0</v>
      </c>
      <c r="AI182" s="40"/>
      <c r="AJ182" s="321">
        <v>0</v>
      </c>
      <c r="AK182" s="40"/>
      <c r="AL182" s="321">
        <v>0</v>
      </c>
      <c r="AM182" s="40"/>
      <c r="AN182" s="321">
        <v>0</v>
      </c>
      <c r="AO182" s="74"/>
      <c r="AP182" s="321">
        <v>0</v>
      </c>
      <c r="AR182" s="321">
        <v>0</v>
      </c>
      <c r="AS182" s="40"/>
      <c r="AT182" s="321">
        <v>0</v>
      </c>
      <c r="AU182" s="40"/>
      <c r="AV182" s="321">
        <v>0</v>
      </c>
      <c r="AW182" s="40"/>
      <c r="AX182" s="321">
        <v>0</v>
      </c>
      <c r="AY182" s="74"/>
      <c r="AZ182" s="321">
        <f t="shared" si="48"/>
        <v>0</v>
      </c>
      <c r="BF182" s="55"/>
      <c r="BJ182" s="55"/>
      <c r="BN182" s="55"/>
      <c r="BR182" s="55"/>
      <c r="BV182" s="55"/>
      <c r="BZ182" s="55"/>
      <c r="CD182" s="55"/>
      <c r="CH182" s="55"/>
      <c r="CL182" s="55"/>
      <c r="CP182" s="55"/>
    </row>
    <row r="183" spans="1:94" outlineLevel="1" x14ac:dyDescent="0.25">
      <c r="A183" s="32" t="s">
        <v>230</v>
      </c>
      <c r="B183" s="10"/>
      <c r="D183" s="411" t="s">
        <v>497</v>
      </c>
      <c r="F183" s="65"/>
      <c r="G183" s="65"/>
      <c r="H183" s="410" t="s">
        <v>495</v>
      </c>
      <c r="J183" s="74">
        <v>0</v>
      </c>
      <c r="L183" s="74">
        <v>0</v>
      </c>
      <c r="M183" s="74"/>
      <c r="N183" s="74">
        <v>0</v>
      </c>
      <c r="O183" s="74"/>
      <c r="P183" s="74">
        <v>0</v>
      </c>
      <c r="Q183" s="74"/>
      <c r="R183" s="74">
        <v>0</v>
      </c>
      <c r="S183" s="74"/>
      <c r="T183" s="74">
        <v>0</v>
      </c>
      <c r="V183" s="74">
        <v>0</v>
      </c>
      <c r="W183" s="74"/>
      <c r="X183" s="74">
        <v>0</v>
      </c>
      <c r="Y183" s="74"/>
      <c r="Z183" s="74">
        <v>0</v>
      </c>
      <c r="AA183" s="74"/>
      <c r="AB183" s="74">
        <v>0</v>
      </c>
      <c r="AC183" s="74"/>
      <c r="AD183" s="74">
        <f t="shared" si="47"/>
        <v>0</v>
      </c>
      <c r="AE183" s="74"/>
      <c r="AF183" s="321">
        <v>0</v>
      </c>
      <c r="AH183" s="321">
        <v>0</v>
      </c>
      <c r="AI183" s="74"/>
      <c r="AJ183" s="321">
        <v>0</v>
      </c>
      <c r="AK183" s="74"/>
      <c r="AL183" s="321">
        <v>0</v>
      </c>
      <c r="AM183" s="74"/>
      <c r="AN183" s="321">
        <v>0</v>
      </c>
      <c r="AO183" s="74"/>
      <c r="AP183" s="321">
        <v>0</v>
      </c>
      <c r="AR183" s="321">
        <v>0</v>
      </c>
      <c r="AS183" s="74"/>
      <c r="AT183" s="321">
        <v>0</v>
      </c>
      <c r="AU183" s="74"/>
      <c r="AV183" s="321">
        <v>0</v>
      </c>
      <c r="AW183" s="74"/>
      <c r="AX183" s="321">
        <v>0</v>
      </c>
      <c r="AY183" s="74"/>
      <c r="AZ183" s="321">
        <f t="shared" si="48"/>
        <v>0</v>
      </c>
      <c r="BF183" s="55"/>
      <c r="BJ183" s="55"/>
      <c r="BN183" s="55"/>
      <c r="BR183" s="55"/>
      <c r="BV183" s="55"/>
      <c r="BZ183" s="55"/>
      <c r="CD183" s="55"/>
      <c r="CH183" s="55"/>
      <c r="CL183" s="55"/>
      <c r="CP183" s="55"/>
    </row>
    <row r="184" spans="1:94" outlineLevel="1" x14ac:dyDescent="0.25">
      <c r="A184" s="32" t="s">
        <v>230</v>
      </c>
      <c r="B184" s="10"/>
      <c r="D184" s="73" t="s">
        <v>59</v>
      </c>
      <c r="F184" s="65"/>
      <c r="G184" s="65"/>
      <c r="H184" s="410" t="s">
        <v>347</v>
      </c>
      <c r="J184" s="74">
        <v>0</v>
      </c>
      <c r="L184" s="74">
        <v>0</v>
      </c>
      <c r="M184" s="74"/>
      <c r="N184" s="74">
        <v>0</v>
      </c>
      <c r="O184" s="74"/>
      <c r="P184" s="74">
        <v>0</v>
      </c>
      <c r="Q184" s="74"/>
      <c r="R184" s="74">
        <v>0</v>
      </c>
      <c r="S184" s="74"/>
      <c r="T184" s="74">
        <v>0</v>
      </c>
      <c r="V184" s="74">
        <v>0</v>
      </c>
      <c r="W184" s="74"/>
      <c r="X184" s="74">
        <v>0</v>
      </c>
      <c r="Y184" s="74"/>
      <c r="Z184" s="74">
        <v>0</v>
      </c>
      <c r="AA184" s="74"/>
      <c r="AB184" s="74">
        <v>0</v>
      </c>
      <c r="AC184" s="74"/>
      <c r="AD184" s="74">
        <f t="shared" si="47"/>
        <v>0</v>
      </c>
      <c r="AE184" s="74"/>
      <c r="AF184" s="321">
        <v>0</v>
      </c>
      <c r="AH184" s="321">
        <v>0</v>
      </c>
      <c r="AI184" s="74"/>
      <c r="AJ184" s="321">
        <v>0</v>
      </c>
      <c r="AK184" s="74"/>
      <c r="AL184" s="321">
        <v>0</v>
      </c>
      <c r="AM184" s="74"/>
      <c r="AN184" s="321">
        <v>0</v>
      </c>
      <c r="AO184" s="74"/>
      <c r="AP184" s="321">
        <v>0</v>
      </c>
      <c r="AR184" s="321">
        <v>0</v>
      </c>
      <c r="AS184" s="74"/>
      <c r="AT184" s="321">
        <v>0</v>
      </c>
      <c r="AU184" s="74"/>
      <c r="AV184" s="321">
        <v>0</v>
      </c>
      <c r="AW184" s="74"/>
      <c r="AX184" s="321">
        <v>0</v>
      </c>
      <c r="AY184" s="74"/>
      <c r="AZ184" s="321">
        <f t="shared" si="48"/>
        <v>0</v>
      </c>
      <c r="BF184" s="55"/>
      <c r="BJ184" s="55"/>
      <c r="BN184" s="55"/>
      <c r="BR184" s="55"/>
      <c r="BV184" s="55"/>
      <c r="BZ184" s="55"/>
      <c r="CD184" s="55"/>
      <c r="CH184" s="55"/>
      <c r="CL184" s="55"/>
      <c r="CP184" s="55"/>
    </row>
    <row r="185" spans="1:94" outlineLevel="1" x14ac:dyDescent="0.25">
      <c r="A185" s="32" t="s">
        <v>230</v>
      </c>
      <c r="B185" s="10"/>
      <c r="D185" s="411" t="s">
        <v>498</v>
      </c>
      <c r="F185" s="65"/>
      <c r="G185" s="65"/>
      <c r="H185" s="410" t="s">
        <v>495</v>
      </c>
      <c r="J185" s="74">
        <v>0</v>
      </c>
      <c r="L185" s="74">
        <v>0</v>
      </c>
      <c r="M185" s="74"/>
      <c r="N185" s="74">
        <v>0</v>
      </c>
      <c r="O185" s="74"/>
      <c r="P185" s="74">
        <v>0</v>
      </c>
      <c r="Q185" s="74"/>
      <c r="R185" s="74">
        <v>0</v>
      </c>
      <c r="S185" s="74"/>
      <c r="T185" s="74">
        <v>0</v>
      </c>
      <c r="V185" s="74">
        <v>0</v>
      </c>
      <c r="W185" s="74"/>
      <c r="X185" s="74">
        <v>0</v>
      </c>
      <c r="Y185" s="74"/>
      <c r="Z185" s="74">
        <v>0</v>
      </c>
      <c r="AA185" s="74"/>
      <c r="AB185" s="74">
        <v>0</v>
      </c>
      <c r="AC185" s="74"/>
      <c r="AD185" s="74">
        <f t="shared" si="47"/>
        <v>0</v>
      </c>
      <c r="AE185" s="74"/>
      <c r="AF185" s="321">
        <v>0</v>
      </c>
      <c r="AH185" s="321">
        <v>0</v>
      </c>
      <c r="AI185" s="74"/>
      <c r="AJ185" s="321">
        <v>0</v>
      </c>
      <c r="AK185" s="74"/>
      <c r="AL185" s="321">
        <v>0</v>
      </c>
      <c r="AM185" s="74"/>
      <c r="AN185" s="321">
        <v>0</v>
      </c>
      <c r="AO185" s="74"/>
      <c r="AP185" s="321">
        <v>0</v>
      </c>
      <c r="AR185" s="321">
        <v>0</v>
      </c>
      <c r="AS185" s="74"/>
      <c r="AT185" s="321">
        <v>0</v>
      </c>
      <c r="AU185" s="74"/>
      <c r="AV185" s="321">
        <v>0</v>
      </c>
      <c r="AW185" s="74"/>
      <c r="AX185" s="321">
        <v>0</v>
      </c>
      <c r="AY185" s="74"/>
      <c r="AZ185" s="321">
        <f t="shared" si="48"/>
        <v>0</v>
      </c>
      <c r="BF185" s="55"/>
      <c r="BJ185" s="55"/>
      <c r="BN185" s="55"/>
      <c r="BR185" s="55"/>
      <c r="BV185" s="55"/>
      <c r="BZ185" s="55"/>
      <c r="CD185" s="55"/>
      <c r="CH185" s="55"/>
      <c r="CL185" s="55"/>
      <c r="CP185" s="55"/>
    </row>
    <row r="186" spans="1:94" x14ac:dyDescent="0.25">
      <c r="A186" s="32"/>
      <c r="B186" s="10"/>
      <c r="C186" s="73" t="s">
        <v>12</v>
      </c>
      <c r="E186" s="407" t="s">
        <v>492</v>
      </c>
      <c r="F186" s="402"/>
      <c r="G186" s="403"/>
      <c r="H186" s="404"/>
      <c r="I186" s="405"/>
      <c r="J186" s="380"/>
      <c r="K186" s="380"/>
      <c r="L186" s="380"/>
      <c r="M186" s="392"/>
      <c r="N186" s="380"/>
      <c r="O186" s="392"/>
      <c r="P186" s="380"/>
      <c r="Q186" s="392"/>
      <c r="R186" s="380"/>
      <c r="S186" s="392"/>
      <c r="T186" s="380"/>
      <c r="U186" s="380"/>
      <c r="V186" s="380"/>
      <c r="W186" s="392"/>
      <c r="X186" s="380"/>
      <c r="Y186" s="392"/>
      <c r="Z186" s="380"/>
      <c r="AA186" s="392"/>
      <c r="AB186" s="380"/>
      <c r="AC186" s="380"/>
      <c r="AD186" s="380"/>
      <c r="AE186" s="380"/>
      <c r="AF186" s="380"/>
      <c r="AG186" s="380"/>
      <c r="AH186" s="380"/>
      <c r="AI186" s="392"/>
      <c r="AJ186" s="380"/>
      <c r="AK186" s="392"/>
      <c r="AL186" s="380"/>
      <c r="AM186" s="392"/>
      <c r="AN186" s="380"/>
      <c r="AO186" s="392"/>
      <c r="AP186" s="380"/>
      <c r="AQ186" s="380"/>
      <c r="AR186" s="380"/>
      <c r="AS186" s="392"/>
      <c r="AT186" s="380"/>
      <c r="AU186" s="392"/>
      <c r="AV186" s="380"/>
      <c r="AW186" s="392"/>
      <c r="AX186" s="380"/>
      <c r="AY186" s="380"/>
      <c r="AZ186" s="380"/>
      <c r="BA186" s="381"/>
      <c r="BB186" s="381"/>
      <c r="BC186" s="406"/>
      <c r="BF186" s="55"/>
      <c r="BJ186" s="55"/>
      <c r="BN186" s="55"/>
      <c r="BR186" s="55"/>
      <c r="BV186" s="55"/>
      <c r="BZ186" s="55"/>
      <c r="CD186" s="55"/>
      <c r="CH186" s="55"/>
      <c r="CL186" s="55"/>
      <c r="CP186" s="55"/>
    </row>
    <row r="187" spans="1:94" outlineLevel="1" x14ac:dyDescent="0.25">
      <c r="A187" s="32" t="s">
        <v>12</v>
      </c>
      <c r="B187" s="10"/>
      <c r="D187" s="73" t="s">
        <v>93</v>
      </c>
      <c r="F187" s="23"/>
      <c r="G187" s="23"/>
      <c r="H187" s="24"/>
      <c r="I187" s="24"/>
      <c r="J187" s="74">
        <v>0</v>
      </c>
      <c r="L187" s="74">
        <v>0</v>
      </c>
      <c r="M187" s="40"/>
      <c r="N187" s="74">
        <v>0</v>
      </c>
      <c r="O187" s="40"/>
      <c r="P187" s="74">
        <v>0</v>
      </c>
      <c r="Q187" s="40"/>
      <c r="R187" s="74">
        <v>0</v>
      </c>
      <c r="S187" s="40"/>
      <c r="T187" s="74">
        <v>0</v>
      </c>
      <c r="V187" s="74">
        <v>0</v>
      </c>
      <c r="W187" s="40"/>
      <c r="X187" s="74">
        <v>0</v>
      </c>
      <c r="Y187" s="40"/>
      <c r="Z187" s="74">
        <v>0</v>
      </c>
      <c r="AA187" s="40"/>
      <c r="AB187" s="74">
        <v>0</v>
      </c>
      <c r="AC187" s="74"/>
      <c r="AD187" s="74">
        <f t="shared" ref="AD187:AD189" si="49">J187+L187+N187+P187+R187+T187+V187+X187+Z187+AB187</f>
        <v>0</v>
      </c>
      <c r="AE187" s="74"/>
      <c r="AF187" s="321">
        <v>0</v>
      </c>
      <c r="AH187" s="321">
        <v>0</v>
      </c>
      <c r="AI187" s="40"/>
      <c r="AJ187" s="321">
        <v>0</v>
      </c>
      <c r="AK187" s="40"/>
      <c r="AL187" s="321">
        <v>0</v>
      </c>
      <c r="AM187" s="40"/>
      <c r="AN187" s="321">
        <v>0</v>
      </c>
      <c r="AO187" s="40"/>
      <c r="AP187" s="321">
        <v>0</v>
      </c>
      <c r="AR187" s="321">
        <v>0</v>
      </c>
      <c r="AS187" s="40"/>
      <c r="AT187" s="321">
        <v>0</v>
      </c>
      <c r="AU187" s="40"/>
      <c r="AV187" s="321">
        <v>0</v>
      </c>
      <c r="AW187" s="40"/>
      <c r="AX187" s="321">
        <v>0</v>
      </c>
      <c r="AY187" s="74"/>
      <c r="AZ187" s="321">
        <f t="shared" ref="AZ187:AZ197" si="50">AF187+AH187+AJ187+AL187+AN187+AP187+AR187+AT187+AV187+AX187</f>
        <v>0</v>
      </c>
      <c r="BF187" s="55"/>
      <c r="BJ187" s="55"/>
      <c r="BN187" s="55"/>
      <c r="BR187" s="55"/>
      <c r="BV187" s="55"/>
      <c r="BZ187" s="55"/>
      <c r="CD187" s="55"/>
      <c r="CH187" s="55"/>
      <c r="CL187" s="55"/>
      <c r="CP187" s="55"/>
    </row>
    <row r="188" spans="1:94" outlineLevel="1" x14ac:dyDescent="0.25">
      <c r="A188" s="32" t="s">
        <v>12</v>
      </c>
      <c r="B188" s="10"/>
      <c r="C188" s="13"/>
      <c r="D188" s="73" t="s">
        <v>264</v>
      </c>
      <c r="J188" s="74">
        <v>0</v>
      </c>
      <c r="L188" s="74">
        <v>0</v>
      </c>
      <c r="M188" s="40"/>
      <c r="N188" s="74">
        <v>0</v>
      </c>
      <c r="O188" s="40"/>
      <c r="P188" s="74">
        <v>0</v>
      </c>
      <c r="Q188" s="40"/>
      <c r="R188" s="74">
        <v>0</v>
      </c>
      <c r="S188" s="74"/>
      <c r="T188" s="74">
        <v>0</v>
      </c>
      <c r="V188" s="74">
        <v>0</v>
      </c>
      <c r="W188" s="40"/>
      <c r="X188" s="74">
        <v>0</v>
      </c>
      <c r="Y188" s="40"/>
      <c r="Z188" s="74">
        <v>0</v>
      </c>
      <c r="AA188" s="40"/>
      <c r="AB188" s="74">
        <v>0</v>
      </c>
      <c r="AC188" s="74"/>
      <c r="AD188" s="74">
        <f t="shared" si="49"/>
        <v>0</v>
      </c>
      <c r="AE188" s="74"/>
      <c r="AF188" s="321">
        <v>0</v>
      </c>
      <c r="AH188" s="321">
        <v>0</v>
      </c>
      <c r="AI188" s="40"/>
      <c r="AJ188" s="321">
        <v>0</v>
      </c>
      <c r="AK188" s="40"/>
      <c r="AL188" s="321">
        <v>0</v>
      </c>
      <c r="AM188" s="40"/>
      <c r="AN188" s="321">
        <v>0</v>
      </c>
      <c r="AO188" s="74"/>
      <c r="AP188" s="321">
        <v>0</v>
      </c>
      <c r="AR188" s="321">
        <v>0</v>
      </c>
      <c r="AS188" s="40"/>
      <c r="AT188" s="321">
        <v>0</v>
      </c>
      <c r="AU188" s="40"/>
      <c r="AV188" s="321">
        <v>0</v>
      </c>
      <c r="AW188" s="40"/>
      <c r="AX188" s="321">
        <v>0</v>
      </c>
      <c r="AY188" s="74"/>
      <c r="AZ188" s="321">
        <f t="shared" si="50"/>
        <v>0</v>
      </c>
      <c r="BF188" s="55"/>
      <c r="BJ188" s="55"/>
      <c r="BN188" s="55"/>
      <c r="BR188" s="55"/>
      <c r="BV188" s="55"/>
      <c r="BZ188" s="55"/>
      <c r="CD188" s="55"/>
      <c r="CH188" s="55"/>
      <c r="CL188" s="55"/>
      <c r="CP188" s="55"/>
    </row>
    <row r="189" spans="1:94" outlineLevel="1" x14ac:dyDescent="0.25">
      <c r="A189" s="32" t="s">
        <v>12</v>
      </c>
      <c r="B189" s="13"/>
      <c r="C189" s="13"/>
      <c r="D189" s="13" t="s">
        <v>265</v>
      </c>
      <c r="E189" s="13"/>
      <c r="H189" s="13"/>
      <c r="I189" s="13"/>
      <c r="J189" s="74">
        <v>0</v>
      </c>
      <c r="L189" s="74">
        <v>0</v>
      </c>
      <c r="M189" s="40"/>
      <c r="N189" s="74">
        <v>0</v>
      </c>
      <c r="O189" s="40"/>
      <c r="P189" s="74">
        <v>0</v>
      </c>
      <c r="Q189" s="40"/>
      <c r="R189" s="74">
        <v>0</v>
      </c>
      <c r="S189" s="74"/>
      <c r="T189" s="74">
        <v>0</v>
      </c>
      <c r="V189" s="74">
        <v>0</v>
      </c>
      <c r="W189" s="40"/>
      <c r="X189" s="74">
        <v>0</v>
      </c>
      <c r="Y189" s="40"/>
      <c r="Z189" s="74">
        <v>0</v>
      </c>
      <c r="AA189" s="40"/>
      <c r="AB189" s="74">
        <v>0</v>
      </c>
      <c r="AC189" s="74"/>
      <c r="AD189" s="74">
        <f t="shared" si="49"/>
        <v>0</v>
      </c>
      <c r="AE189" s="74"/>
      <c r="AF189" s="321">
        <v>0</v>
      </c>
      <c r="AH189" s="321">
        <v>0</v>
      </c>
      <c r="AI189" s="40"/>
      <c r="AJ189" s="321">
        <v>0</v>
      </c>
      <c r="AK189" s="40"/>
      <c r="AL189" s="321">
        <v>0</v>
      </c>
      <c r="AM189" s="40"/>
      <c r="AN189" s="321">
        <v>0</v>
      </c>
      <c r="AO189" s="74"/>
      <c r="AP189" s="321">
        <v>0</v>
      </c>
      <c r="AR189" s="321">
        <v>0</v>
      </c>
      <c r="AS189" s="40"/>
      <c r="AT189" s="321">
        <v>0</v>
      </c>
      <c r="AU189" s="40"/>
      <c r="AV189" s="321">
        <v>0</v>
      </c>
      <c r="AW189" s="40"/>
      <c r="AX189" s="321">
        <v>0</v>
      </c>
      <c r="AY189" s="74"/>
      <c r="AZ189" s="321">
        <f t="shared" si="50"/>
        <v>0</v>
      </c>
      <c r="BA189" s="40"/>
      <c r="BF189" s="55"/>
      <c r="BJ189" s="55"/>
      <c r="BN189" s="55"/>
      <c r="BR189" s="55"/>
      <c r="BV189" s="55"/>
      <c r="BZ189" s="55"/>
      <c r="CD189" s="55"/>
      <c r="CH189" s="55"/>
      <c r="CL189" s="55"/>
      <c r="CP189" s="55"/>
    </row>
    <row r="190" spans="1:94" outlineLevel="1" x14ac:dyDescent="0.25">
      <c r="A190" s="32"/>
      <c r="B190" s="13"/>
      <c r="C190" s="73" t="s">
        <v>271</v>
      </c>
      <c r="E190" s="13"/>
      <c r="F190" s="62" t="s">
        <v>70</v>
      </c>
      <c r="H190" s="63" t="s">
        <v>389</v>
      </c>
      <c r="I190" s="13"/>
      <c r="M190" s="40"/>
      <c r="N190" s="74"/>
      <c r="O190" s="40"/>
      <c r="P190" s="74"/>
      <c r="Q190" s="40"/>
      <c r="R190" s="74"/>
      <c r="S190" s="74"/>
      <c r="W190" s="40"/>
      <c r="X190" s="74"/>
      <c r="Y190" s="40"/>
      <c r="Z190" s="74"/>
      <c r="AA190" s="40"/>
      <c r="AB190" s="74"/>
      <c r="AC190" s="74"/>
      <c r="AD190" s="74"/>
      <c r="AE190" s="74"/>
      <c r="AI190" s="40"/>
      <c r="AJ190" s="321"/>
      <c r="AK190" s="40"/>
      <c r="AL190" s="321"/>
      <c r="AM190" s="40"/>
      <c r="AN190" s="321"/>
      <c r="AO190" s="74"/>
      <c r="AS190" s="40"/>
      <c r="AT190" s="321"/>
      <c r="AU190" s="40"/>
      <c r="AV190" s="321"/>
      <c r="AW190" s="40"/>
      <c r="AX190" s="321"/>
      <c r="AY190" s="74"/>
      <c r="AZ190" s="321"/>
      <c r="BA190" s="40"/>
      <c r="BF190" s="55"/>
      <c r="BJ190" s="55"/>
      <c r="BN190" s="55"/>
      <c r="BR190" s="55"/>
      <c r="BV190" s="55"/>
      <c r="BZ190" s="55"/>
      <c r="CD190" s="55"/>
      <c r="CH190" s="55"/>
      <c r="CL190" s="55"/>
      <c r="CP190" s="55"/>
    </row>
    <row r="191" spans="1:94" outlineLevel="1" x14ac:dyDescent="0.25">
      <c r="A191" s="32" t="s">
        <v>12</v>
      </c>
      <c r="B191" s="10"/>
      <c r="C191" s="13"/>
      <c r="D191" s="13"/>
      <c r="F191" s="187"/>
      <c r="G191" s="63"/>
      <c r="H191" s="67"/>
      <c r="I191" s="13"/>
      <c r="J191" s="40">
        <f>F191*H191</f>
        <v>0</v>
      </c>
      <c r="L191" s="74">
        <f>IF($BD$15&lt;2,0, IF($BD$100="Yes", (F191*H191)*(1+$BD$10),(F191*H191)))</f>
        <v>0</v>
      </c>
      <c r="M191" s="40"/>
      <c r="N191" s="74">
        <f>IF($BD$15&lt;3,0, IF($BD$100="Yes", (F191*H191)*((1+$BD$10)^2),(F191*H191)))</f>
        <v>0</v>
      </c>
      <c r="O191" s="40"/>
      <c r="P191" s="74">
        <f>IF($BD$15&lt;4,0, IF($BD$100="Yes", (F191*H191)*((1+$BD$10)^3),(F191*H191)))</f>
        <v>0</v>
      </c>
      <c r="Q191" s="40"/>
      <c r="R191" s="74">
        <f>IF($BD$15&lt;5,0, IF($BD$100="Yes", (F191*H191)*((1+$BD$10)^4),(F191*H191)))</f>
        <v>0</v>
      </c>
      <c r="S191" s="74"/>
      <c r="T191" s="74">
        <f>IF($BD$15&lt;6,0, IF($BD$100="Yes", (F191*H191)*((1+$BD$10)^5),(F191*H191)))</f>
        <v>0</v>
      </c>
      <c r="V191" s="74">
        <f>IF($BD$15&lt;7,0, IF($BD$100="Yes", (F191*H191)*((1+$BD$10)^6),(F191*H191)))</f>
        <v>0</v>
      </c>
      <c r="W191" s="40"/>
      <c r="X191" s="74">
        <f>IF($BD$15&lt;8,0, IF($BD$100="Yes", (F191*H191)*((1+$BD$10)^7),(F191*H191)))</f>
        <v>0</v>
      </c>
      <c r="Y191" s="40"/>
      <c r="Z191" s="74">
        <f>IF($BD$15&lt;9,0, IF($BD$100="Yes", (F191*H191)*((1+$BD$10)^8),(F191*H191)))</f>
        <v>0</v>
      </c>
      <c r="AA191" s="40"/>
      <c r="AB191" s="74">
        <f>IF($BD$15&lt;10,0, IF($BD$100="Yes", (F191*H191)*((1+$BD$10)^9),(F191*H191)))</f>
        <v>0</v>
      </c>
      <c r="AC191" s="74"/>
      <c r="AD191" s="74">
        <f>J191+L191+N191+P191+R191+T191+V191+X191+Z191+AB191</f>
        <v>0</v>
      </c>
      <c r="AE191" s="74"/>
      <c r="AF191" s="85">
        <v>0</v>
      </c>
      <c r="AH191" s="321">
        <v>0</v>
      </c>
      <c r="AI191" s="40"/>
      <c r="AJ191" s="321">
        <v>0</v>
      </c>
      <c r="AK191" s="40"/>
      <c r="AL191" s="321">
        <v>0</v>
      </c>
      <c r="AM191" s="40"/>
      <c r="AN191" s="321">
        <v>0</v>
      </c>
      <c r="AO191" s="74"/>
      <c r="AP191" s="40">
        <v>0</v>
      </c>
      <c r="AR191" s="74">
        <v>0</v>
      </c>
      <c r="AS191" s="40"/>
      <c r="AT191" s="74">
        <v>0</v>
      </c>
      <c r="AU191" s="40"/>
      <c r="AV191" s="74">
        <v>0</v>
      </c>
      <c r="AW191" s="40"/>
      <c r="AX191" s="74">
        <v>0</v>
      </c>
      <c r="AY191" s="74"/>
      <c r="AZ191" s="321">
        <f t="shared" si="50"/>
        <v>0</v>
      </c>
      <c r="BF191" s="55"/>
      <c r="BJ191" s="55"/>
      <c r="BN191" s="55"/>
      <c r="BR191" s="55"/>
      <c r="BV191" s="55"/>
      <c r="BZ191" s="55"/>
      <c r="CD191" s="55"/>
      <c r="CH191" s="55"/>
      <c r="CL191" s="55"/>
      <c r="CP191" s="55"/>
    </row>
    <row r="192" spans="1:94" outlineLevel="1" x14ac:dyDescent="0.25">
      <c r="A192" s="32" t="s">
        <v>12</v>
      </c>
      <c r="B192" s="13"/>
      <c r="C192" s="13"/>
      <c r="D192" s="13" t="s">
        <v>266</v>
      </c>
      <c r="E192" s="13"/>
      <c r="H192" s="13"/>
      <c r="I192" s="13"/>
      <c r="J192" s="74">
        <v>0</v>
      </c>
      <c r="L192" s="74">
        <v>0</v>
      </c>
      <c r="M192" s="40"/>
      <c r="N192" s="74">
        <v>0</v>
      </c>
      <c r="O192" s="40"/>
      <c r="P192" s="74">
        <v>0</v>
      </c>
      <c r="Q192" s="40"/>
      <c r="R192" s="74">
        <v>0</v>
      </c>
      <c r="S192" s="74"/>
      <c r="T192" s="74">
        <v>0</v>
      </c>
      <c r="V192" s="74">
        <v>0</v>
      </c>
      <c r="W192" s="40"/>
      <c r="X192" s="74">
        <v>0</v>
      </c>
      <c r="Y192" s="40"/>
      <c r="Z192" s="74">
        <v>0</v>
      </c>
      <c r="AA192" s="40"/>
      <c r="AB192" s="74">
        <v>0</v>
      </c>
      <c r="AC192" s="74"/>
      <c r="AD192" s="74">
        <f t="shared" ref="AD192:AD197" si="51">J192+L192+N192+P192+R192+T192+V192+X192+Z192+AB192</f>
        <v>0</v>
      </c>
      <c r="AE192" s="74"/>
      <c r="AF192" s="321">
        <v>0</v>
      </c>
      <c r="AH192" s="321">
        <v>0</v>
      </c>
      <c r="AI192" s="40"/>
      <c r="AJ192" s="321">
        <v>0</v>
      </c>
      <c r="AK192" s="40"/>
      <c r="AL192" s="321">
        <v>0</v>
      </c>
      <c r="AM192" s="40"/>
      <c r="AN192" s="321">
        <v>0</v>
      </c>
      <c r="AO192" s="74"/>
      <c r="AP192" s="321">
        <v>0</v>
      </c>
      <c r="AR192" s="321">
        <v>0</v>
      </c>
      <c r="AS192" s="40"/>
      <c r="AT192" s="321">
        <v>0</v>
      </c>
      <c r="AU192" s="40"/>
      <c r="AV192" s="321">
        <v>0</v>
      </c>
      <c r="AW192" s="40"/>
      <c r="AX192" s="321">
        <v>0</v>
      </c>
      <c r="AY192" s="74"/>
      <c r="AZ192" s="321">
        <f t="shared" si="50"/>
        <v>0</v>
      </c>
      <c r="BA192" s="40"/>
      <c r="BF192" s="55"/>
      <c r="BJ192" s="55"/>
      <c r="BN192" s="55"/>
      <c r="BR192" s="55"/>
      <c r="BV192" s="55"/>
      <c r="BZ192" s="55"/>
      <c r="CD192" s="55"/>
      <c r="CH192" s="55"/>
      <c r="CL192" s="55"/>
      <c r="CP192" s="55"/>
    </row>
    <row r="193" spans="1:94" outlineLevel="1" x14ac:dyDescent="0.25">
      <c r="A193" s="32"/>
      <c r="B193" s="13"/>
      <c r="C193" s="13" t="s">
        <v>55</v>
      </c>
      <c r="D193" s="13"/>
      <c r="E193" s="365" t="s">
        <v>390</v>
      </c>
      <c r="F193" s="63" t="s">
        <v>398</v>
      </c>
      <c r="G193" s="63" t="s">
        <v>388</v>
      </c>
      <c r="H193" s="13"/>
      <c r="I193" s="13"/>
      <c r="M193" s="40"/>
      <c r="N193" s="74"/>
      <c r="O193" s="40"/>
      <c r="P193" s="74"/>
      <c r="Q193" s="40"/>
      <c r="R193" s="74"/>
      <c r="S193" s="74"/>
      <c r="W193" s="40"/>
      <c r="X193" s="74"/>
      <c r="Y193" s="40"/>
      <c r="Z193" s="74"/>
      <c r="AA193" s="40"/>
      <c r="AB193" s="74"/>
      <c r="AC193" s="74"/>
      <c r="AD193" s="74"/>
      <c r="AE193" s="74"/>
      <c r="AI193" s="40"/>
      <c r="AJ193" s="321"/>
      <c r="AK193" s="40"/>
      <c r="AL193" s="321"/>
      <c r="AM193" s="40"/>
      <c r="AN193" s="321"/>
      <c r="AO193" s="74"/>
      <c r="AS193" s="40"/>
      <c r="AT193" s="321"/>
      <c r="AU193" s="40"/>
      <c r="AV193" s="321"/>
      <c r="AW193" s="40"/>
      <c r="AX193" s="321"/>
      <c r="AY193" s="74"/>
      <c r="AZ193" s="321"/>
      <c r="BA193" s="40"/>
      <c r="BF193" s="55"/>
      <c r="BJ193" s="55"/>
      <c r="BN193" s="55"/>
      <c r="BR193" s="55"/>
      <c r="BV193" s="55"/>
      <c r="BZ193" s="55"/>
      <c r="CD193" s="55"/>
      <c r="CH193" s="55"/>
      <c r="CL193" s="55"/>
      <c r="CP193" s="55"/>
    </row>
    <row r="194" spans="1:94" outlineLevel="1" x14ac:dyDescent="0.25">
      <c r="A194" s="32" t="s">
        <v>55</v>
      </c>
      <c r="B194" s="13"/>
      <c r="C194" s="13"/>
      <c r="D194" s="13" t="s">
        <v>267</v>
      </c>
      <c r="E194" s="358"/>
      <c r="F194" s="358"/>
      <c r="G194" s="67"/>
      <c r="H194" s="13"/>
      <c r="I194" s="13"/>
      <c r="J194" s="74">
        <f>IF(ISNUMBER($F194)*ISNUMBER($G194),$F194*$G194,0)</f>
        <v>0</v>
      </c>
      <c r="L194" s="74">
        <f>IF($BD$15&lt;2,0,IF(ISNUMBER($F194)*ISNUMBER($G194),($F194*$G194)*(1+BD9),0))</f>
        <v>0</v>
      </c>
      <c r="M194" s="40"/>
      <c r="N194" s="74">
        <f>IF(BD15&lt;3,0,IF(ISNUMBER($F194)*ISNUMBER($G194),($F194*$G194)*(1+BD9)^2,0))</f>
        <v>0</v>
      </c>
      <c r="O194" s="74"/>
      <c r="P194" s="74">
        <f>IF(BD15&lt;4,0,IF(ISNUMBER($F194)*ISNUMBER($G194),($F194*$G194)*(1+BD9)^3,0))</f>
        <v>0</v>
      </c>
      <c r="Q194" s="74"/>
      <c r="R194" s="74">
        <f>IF(BD15&lt;5,0,IF(ISNUMBER($F194)*ISNUMBER($G194),($F194*$G194)*(1+BD9)^4,0))</f>
        <v>0</v>
      </c>
      <c r="S194" s="74"/>
      <c r="T194" s="74">
        <f>IF(BD15&lt;6,0,IF(ISNUMBER($F194)*ISNUMBER($G194),($F194*$G194)*(1+BD9)^5,0))</f>
        <v>0</v>
      </c>
      <c r="V194" s="74">
        <f>IF(BD15&lt;7,0,IF(ISNUMBER($F194)*ISNUMBER($G194),($F194*$G194)*(1+BD9)^6,0))</f>
        <v>0</v>
      </c>
      <c r="W194" s="74"/>
      <c r="X194" s="74">
        <f>IF(BD15&lt;8,0,IF(ISNUMBER($F194)*ISNUMBER($G194),($F194*$G194)*(1+BD9)^7,0))</f>
        <v>0</v>
      </c>
      <c r="Y194" s="74"/>
      <c r="Z194" s="74">
        <f>IF(BD15&lt;9,0,IF(ISNUMBER($F194)*ISNUMBER($G194),($F194*$G194)*(1+BD9)^8,0))</f>
        <v>0</v>
      </c>
      <c r="AA194" s="74"/>
      <c r="AB194" s="74">
        <f>IF(BD15&lt;10,0,IF(ISNUMBER($F194)*ISNUMBER($G194),($F194*$G194)*(1+BD9)^9,0))</f>
        <v>0</v>
      </c>
      <c r="AC194" s="74"/>
      <c r="AD194" s="74">
        <f t="shared" si="51"/>
        <v>0</v>
      </c>
      <c r="AE194" s="74"/>
      <c r="AF194" s="321">
        <v>0</v>
      </c>
      <c r="AH194" s="321">
        <v>0</v>
      </c>
      <c r="AI194" s="40"/>
      <c r="AJ194" s="321">
        <v>0</v>
      </c>
      <c r="AK194" s="40"/>
      <c r="AL194" s="321">
        <v>0</v>
      </c>
      <c r="AM194" s="40"/>
      <c r="AN194" s="321">
        <v>0</v>
      </c>
      <c r="AO194" s="74"/>
      <c r="AS194" s="40"/>
      <c r="AT194" s="321"/>
      <c r="AU194" s="40"/>
      <c r="AV194" s="321"/>
      <c r="AW194" s="40"/>
      <c r="AX194" s="321"/>
      <c r="AY194" s="74"/>
      <c r="AZ194" s="321">
        <v>0</v>
      </c>
      <c r="BA194" s="40"/>
      <c r="BF194" s="55"/>
      <c r="BJ194" s="55"/>
      <c r="BN194" s="55"/>
      <c r="BR194" s="55"/>
      <c r="BV194" s="55"/>
      <c r="BZ194" s="55"/>
      <c r="CD194" s="55"/>
      <c r="CH194" s="55"/>
      <c r="CL194" s="55"/>
      <c r="CP194" s="55"/>
    </row>
    <row r="195" spans="1:94" outlineLevel="1" x14ac:dyDescent="0.25">
      <c r="A195" s="32" t="s">
        <v>55</v>
      </c>
      <c r="B195" s="13"/>
      <c r="C195" s="13"/>
      <c r="D195" s="13" t="s">
        <v>362</v>
      </c>
      <c r="E195" s="358"/>
      <c r="F195" s="358"/>
      <c r="G195" s="67"/>
      <c r="H195" s="13"/>
      <c r="I195" s="13"/>
      <c r="J195" s="74">
        <f>IF(ISNUMBER($F195)*ISNUMBER($G195),$F195*$G195,0)</f>
        <v>0</v>
      </c>
      <c r="L195" s="74">
        <f>IF($BD$15&lt;2,0,IF(ISNUMBER($F195)*ISNUMBER($G195),($F195*$G195)*(1+BD9),0))</f>
        <v>0</v>
      </c>
      <c r="M195" s="40"/>
      <c r="N195" s="74">
        <f>IF(BD15&lt;3,0,IF(ISNUMBER($F195)*ISNUMBER($G195),($F195*$G195)*(1+BD9)^2,0))</f>
        <v>0</v>
      </c>
      <c r="O195" s="40"/>
      <c r="P195" s="74">
        <f>IF(BD15&lt;4,0,IF(ISNUMBER($F195)*ISNUMBER($G195),($F195*$G195)*(1+BD9)^3,0))</f>
        <v>0</v>
      </c>
      <c r="Q195" s="40"/>
      <c r="R195" s="74">
        <f>IF(BD15&lt;5,0,IF(ISNUMBER($F195)*ISNUMBER($G195),($F195*$G195)*(1+BD9)^4,0))</f>
        <v>0</v>
      </c>
      <c r="S195" s="74"/>
      <c r="T195" s="74">
        <f>IF(BD15&lt;6,0,IF(ISNUMBER($F195)*ISNUMBER($G195),($F195*$G195)*(1+BD9)^5,0))</f>
        <v>0</v>
      </c>
      <c r="V195" s="74">
        <f>IF(BD15&lt;7,0,IF(ISNUMBER($F195)*ISNUMBER($G195),($F195*$G195)*(1+BD9)^6,0))</f>
        <v>0</v>
      </c>
      <c r="W195" s="40"/>
      <c r="X195" s="74">
        <f>IF(BD15&lt;8,0,IF(ISNUMBER($F195)*ISNUMBER($G195),($F195*$G195)*(1+BD9)^7,0))</f>
        <v>0</v>
      </c>
      <c r="Y195" s="40"/>
      <c r="Z195" s="74">
        <f>IF(BD15&lt;9,0,IF(ISNUMBER($F195)*ISNUMBER($G195),($F195*$G195)*(1+BD9)^8,0))</f>
        <v>0</v>
      </c>
      <c r="AA195" s="40"/>
      <c r="AB195" s="74">
        <f>IF(BD15&lt;10,0,IF(ISNUMBER($F195)*ISNUMBER($G195),($F195*$G195)*(1+BD9)^9,0))</f>
        <v>0</v>
      </c>
      <c r="AC195" s="74"/>
      <c r="AD195" s="74">
        <f t="shared" si="51"/>
        <v>0</v>
      </c>
      <c r="AE195" s="74"/>
      <c r="AF195" s="321">
        <v>0</v>
      </c>
      <c r="AH195" s="321">
        <v>0</v>
      </c>
      <c r="AI195" s="40"/>
      <c r="AJ195" s="321">
        <v>0</v>
      </c>
      <c r="AK195" s="40"/>
      <c r="AL195" s="321">
        <v>0</v>
      </c>
      <c r="AM195" s="40"/>
      <c r="AN195" s="321">
        <v>0</v>
      </c>
      <c r="AO195" s="74"/>
      <c r="AS195" s="40"/>
      <c r="AT195" s="321"/>
      <c r="AU195" s="40"/>
      <c r="AV195" s="321"/>
      <c r="AW195" s="40"/>
      <c r="AX195" s="321"/>
      <c r="AY195" s="74"/>
      <c r="AZ195" s="321">
        <v>0</v>
      </c>
      <c r="BA195" s="40"/>
      <c r="BF195" s="55"/>
      <c r="BJ195" s="55"/>
      <c r="BN195" s="55"/>
      <c r="BR195" s="55"/>
      <c r="BV195" s="55"/>
      <c r="BZ195" s="55"/>
      <c r="CD195" s="55"/>
      <c r="CH195" s="55"/>
      <c r="CL195" s="55"/>
      <c r="CP195" s="55"/>
    </row>
    <row r="196" spans="1:94" x14ac:dyDescent="0.25">
      <c r="A196" s="32" t="s">
        <v>55</v>
      </c>
      <c r="B196" s="10"/>
      <c r="C196" s="13"/>
      <c r="D196" s="73" t="s">
        <v>267</v>
      </c>
      <c r="E196" s="358"/>
      <c r="F196" s="358"/>
      <c r="G196" s="67"/>
      <c r="H196" s="63"/>
      <c r="I196" s="174">
        <f>IF(BD14="Yes",F196*(1+BD7),F196)</f>
        <v>0</v>
      </c>
      <c r="J196" s="74">
        <f>IF(ISNUMBER($F196)*ISNUMBER($G196),$F196*$G196,0)</f>
        <v>0</v>
      </c>
      <c r="L196" s="74">
        <f>IF($BD$15&lt;2,0,IF(ISNUMBER($F196)*ISNUMBER($G196),($F196*$G196)*(1+BD9),0))</f>
        <v>0</v>
      </c>
      <c r="M196" s="74"/>
      <c r="N196" s="74">
        <f>IF(BD15&lt;3,0,IF(ISNUMBER($F196)*ISNUMBER($G196),($F196*$G196)*(1+BD9)^2,0))</f>
        <v>0</v>
      </c>
      <c r="O196" s="74"/>
      <c r="P196" s="74">
        <f>IF(BD15&lt;4,0,IF(ISNUMBER($F196)*ISNUMBER($G196),($F196*$G196)*(1+BD9)^3,0))</f>
        <v>0</v>
      </c>
      <c r="Q196" s="74"/>
      <c r="R196" s="74">
        <f>IF(BD15&lt;5,0,IF(ISNUMBER($F196)*ISNUMBER($G196),($F196*$G196)*(1+BD9)^4,0))</f>
        <v>0</v>
      </c>
      <c r="S196" s="74"/>
      <c r="T196" s="74">
        <f>IF(BD15&lt;6,0,IF(ISNUMBER($F196)*ISNUMBER($G196),($F196*$G196)*(1+BD9)^5,0))</f>
        <v>0</v>
      </c>
      <c r="V196" s="74">
        <f>IF(BD15&lt;7,0,IF(ISNUMBER($F196)*ISNUMBER($G196),($F196*$G196)*(1+BD9)^6,0))</f>
        <v>0</v>
      </c>
      <c r="W196" s="74"/>
      <c r="X196" s="74">
        <f>IF(BD15&lt;8,0,IF(ISNUMBER($F196)*ISNUMBER($G196),($F196*$G196)*(1+BD9)^7,0))</f>
        <v>0</v>
      </c>
      <c r="Y196" s="74"/>
      <c r="Z196" s="74">
        <f>IF(BD15&lt;9,0,IF(ISNUMBER($F196)*ISNUMBER($G196),($F196*$G196)*(1+BD9)^8,0))</f>
        <v>0</v>
      </c>
      <c r="AA196" s="74"/>
      <c r="AB196" s="74">
        <f>IF(BD15&lt;10,0,IF(ISNUMBER($F196)*ISNUMBER($G196),($F196*$G196)*(1+BD9)^9,0))</f>
        <v>0</v>
      </c>
      <c r="AC196" s="74"/>
      <c r="AD196" s="74">
        <f t="shared" si="51"/>
        <v>0</v>
      </c>
      <c r="AE196" s="74"/>
      <c r="AF196" s="321">
        <v>0</v>
      </c>
      <c r="AH196" s="321">
        <v>0</v>
      </c>
      <c r="AI196" s="74"/>
      <c r="AJ196" s="321">
        <v>0</v>
      </c>
      <c r="AK196" s="74"/>
      <c r="AL196" s="321">
        <v>0</v>
      </c>
      <c r="AM196" s="74"/>
      <c r="AN196" s="321">
        <v>0</v>
      </c>
      <c r="AO196" s="74"/>
      <c r="AP196" s="321">
        <v>0</v>
      </c>
      <c r="AR196" s="321">
        <v>0</v>
      </c>
      <c r="AS196" s="74"/>
      <c r="AT196" s="321">
        <v>0</v>
      </c>
      <c r="AU196" s="74"/>
      <c r="AV196" s="321">
        <v>0</v>
      </c>
      <c r="AW196" s="74"/>
      <c r="AX196" s="321">
        <v>0</v>
      </c>
      <c r="AY196" s="74"/>
      <c r="AZ196" s="321">
        <f t="shared" ref="AZ196" si="52">AF196+AH196+AJ196+AL196+AN196+AP196+AR196+AT196+AV196+AX196</f>
        <v>0</v>
      </c>
      <c r="BF196" s="55"/>
      <c r="BJ196" s="55"/>
      <c r="BN196" s="55"/>
      <c r="BR196" s="55"/>
      <c r="BV196" s="55"/>
      <c r="BZ196" s="55"/>
      <c r="CD196" s="55"/>
      <c r="CH196" s="55"/>
      <c r="CL196" s="55"/>
      <c r="CP196" s="55"/>
    </row>
    <row r="197" spans="1:94" x14ac:dyDescent="0.25">
      <c r="A197" s="32" t="s">
        <v>55</v>
      </c>
      <c r="B197" s="10"/>
      <c r="C197" s="13"/>
      <c r="D197" s="73" t="s">
        <v>362</v>
      </c>
      <c r="E197" s="358"/>
      <c r="F197" s="358"/>
      <c r="G197" s="67"/>
      <c r="H197" s="63"/>
      <c r="I197" s="174">
        <f>IF(BD16="Yes",F197*(1+BD9),F197)</f>
        <v>0</v>
      </c>
      <c r="J197" s="74">
        <f>IF(ISNUMBER($F197)*ISNUMBER($G197),$F197*$G197,0)</f>
        <v>0</v>
      </c>
      <c r="L197" s="74">
        <f>IF($BD$15&lt;2,0,IF(ISNUMBER($F197)*ISNUMBER($G197),($F197*$G197)*(1+BD9),0))</f>
        <v>0</v>
      </c>
      <c r="M197" s="74"/>
      <c r="N197" s="74">
        <f>IF(BD15&lt;3,0,IF(ISNUMBER($F197)*ISNUMBER($G197),($F197*$G197)*(1+BD9)^2,0))</f>
        <v>0</v>
      </c>
      <c r="O197" s="74"/>
      <c r="P197" s="74">
        <f>IF(BD15&lt;4,0,IF(ISNUMBER($F197)*ISNUMBER($G197),($F197*$G197)*(1+BD9)^3,0))</f>
        <v>0</v>
      </c>
      <c r="Q197" s="74"/>
      <c r="R197" s="74">
        <f>IF(BD15&lt;5,0,IF(ISNUMBER($F197)*ISNUMBER($G197),($F197*$G197)*(1+BD9)^4,0))</f>
        <v>0</v>
      </c>
      <c r="S197" s="74"/>
      <c r="T197" s="74">
        <f>IF(BD15&lt;6,0,IF(ISNUMBER($F197)*ISNUMBER($G197),($F197*$G197)*(1+BD9)^5,0))</f>
        <v>0</v>
      </c>
      <c r="V197" s="74">
        <f>IF(BD15&lt;7,0,IF(ISNUMBER($F197)*ISNUMBER($G197),($F197*$G197)*(1+BD9)^6,0))</f>
        <v>0</v>
      </c>
      <c r="W197" s="74"/>
      <c r="X197" s="74">
        <f>IF(BD15&lt;8,0,IF(ISNUMBER($F197)*ISNUMBER($G197),($F197*$G197)*(1+BD9)^7,0))</f>
        <v>0</v>
      </c>
      <c r="Y197" s="74"/>
      <c r="Z197" s="74">
        <f>IF(BD15&lt;9,0,IF(ISNUMBER($F197)*ISNUMBER($G197),($F197*$G197)*(1+BD9)^8,0))</f>
        <v>0</v>
      </c>
      <c r="AA197" s="74"/>
      <c r="AB197" s="74">
        <f>IF(BD15&lt;10,0,IF(ISNUMBER($F197)*ISNUMBER($G197),($F197*$G197)*(1+BD9)^9,0))</f>
        <v>0</v>
      </c>
      <c r="AC197" s="74"/>
      <c r="AD197" s="11">
        <f t="shared" si="51"/>
        <v>0</v>
      </c>
      <c r="AE197" s="74"/>
      <c r="AF197" s="321">
        <v>0</v>
      </c>
      <c r="AH197" s="321">
        <v>0</v>
      </c>
      <c r="AI197" s="74"/>
      <c r="AJ197" s="321">
        <v>0</v>
      </c>
      <c r="AK197" s="74"/>
      <c r="AL197" s="321">
        <v>0</v>
      </c>
      <c r="AM197" s="74"/>
      <c r="AN197" s="321">
        <v>0</v>
      </c>
      <c r="AO197" s="74"/>
      <c r="AP197" s="321">
        <v>0</v>
      </c>
      <c r="AR197" s="321">
        <v>0</v>
      </c>
      <c r="AS197" s="74"/>
      <c r="AT197" s="321">
        <v>0</v>
      </c>
      <c r="AU197" s="74"/>
      <c r="AV197" s="321">
        <v>0</v>
      </c>
      <c r="AW197" s="74"/>
      <c r="AX197" s="321">
        <v>0</v>
      </c>
      <c r="AY197" s="74"/>
      <c r="AZ197" s="331">
        <f t="shared" si="50"/>
        <v>0</v>
      </c>
      <c r="BF197" s="55"/>
      <c r="BJ197" s="55"/>
      <c r="BN197" s="55"/>
      <c r="BR197" s="55"/>
      <c r="BV197" s="55"/>
      <c r="BZ197" s="55"/>
      <c r="CD197" s="55"/>
      <c r="CH197" s="55"/>
      <c r="CL197" s="55"/>
      <c r="CP197" s="55"/>
    </row>
    <row r="198" spans="1:94" ht="9" customHeight="1" x14ac:dyDescent="0.25">
      <c r="J198" s="14"/>
      <c r="L198" s="14"/>
      <c r="M198" s="40"/>
      <c r="N198" s="71"/>
      <c r="O198" s="40"/>
      <c r="P198" s="71"/>
      <c r="Q198" s="40"/>
      <c r="R198" s="71"/>
      <c r="S198" s="40"/>
      <c r="T198" s="14"/>
      <c r="V198" s="14"/>
      <c r="W198" s="40"/>
      <c r="X198" s="71"/>
      <c r="Y198" s="40"/>
      <c r="Z198" s="71"/>
      <c r="AA198" s="40"/>
      <c r="AB198" s="71"/>
      <c r="AC198" s="40"/>
      <c r="AD198" s="74"/>
      <c r="AF198" s="324"/>
      <c r="AH198" s="324"/>
      <c r="AI198" s="40"/>
      <c r="AJ198" s="333"/>
      <c r="AK198" s="40"/>
      <c r="AL198" s="333"/>
      <c r="AM198" s="40"/>
      <c r="AN198" s="333"/>
      <c r="AO198" s="40"/>
      <c r="AP198" s="324"/>
      <c r="AR198" s="324"/>
      <c r="AS198" s="40"/>
      <c r="AT198" s="333"/>
      <c r="AU198" s="40"/>
      <c r="AV198" s="333"/>
      <c r="AW198" s="40"/>
      <c r="AX198" s="333"/>
      <c r="AY198" s="40"/>
      <c r="AZ198" s="321"/>
    </row>
    <row r="199" spans="1:94" x14ac:dyDescent="0.25">
      <c r="C199" s="73" t="s">
        <v>13</v>
      </c>
      <c r="E199" s="359"/>
      <c r="J199" s="74">
        <f>SUM(J168:J197)</f>
        <v>0</v>
      </c>
      <c r="L199" s="74">
        <f>SUM(L168:L197)</f>
        <v>0</v>
      </c>
      <c r="M199" s="74"/>
      <c r="N199" s="74">
        <f>SUM(N168:N197)</f>
        <v>0</v>
      </c>
      <c r="O199" s="74"/>
      <c r="P199" s="74">
        <f>SUM(P168:P197)</f>
        <v>0</v>
      </c>
      <c r="Q199" s="74"/>
      <c r="R199" s="74">
        <f>SUM(R168:R197)</f>
        <v>0</v>
      </c>
      <c r="S199" s="74"/>
      <c r="T199" s="74">
        <f>SUM(T168:T197)</f>
        <v>0</v>
      </c>
      <c r="V199" s="74">
        <f>SUM(V168:V197)</f>
        <v>0</v>
      </c>
      <c r="W199" s="74"/>
      <c r="X199" s="74">
        <f>SUM(X168:X197)</f>
        <v>0</v>
      </c>
      <c r="Y199" s="74"/>
      <c r="Z199" s="74">
        <f>SUM(Z168:Z197)</f>
        <v>0</v>
      </c>
      <c r="AA199" s="74"/>
      <c r="AB199" s="74">
        <f>SUM(AB168:AB197)</f>
        <v>0</v>
      </c>
      <c r="AC199" s="74"/>
      <c r="AD199" s="74">
        <f>J199+L199+N199+P199+R199+T199+V199+X199+Z199+AB199</f>
        <v>0</v>
      </c>
      <c r="AE199" s="74"/>
      <c r="AF199" s="321">
        <f>SUM(AF168:AF197)</f>
        <v>0</v>
      </c>
      <c r="AH199" s="321">
        <f>SUM(AH168:AH197)</f>
        <v>0</v>
      </c>
      <c r="AI199" s="74"/>
      <c r="AJ199" s="321">
        <f>SUM(AJ168:AJ197)</f>
        <v>0</v>
      </c>
      <c r="AK199" s="74"/>
      <c r="AL199" s="321">
        <f>SUM(AL168:AL197)</f>
        <v>0</v>
      </c>
      <c r="AM199" s="74"/>
      <c r="AN199" s="321">
        <f>SUM(AN168:AN197)</f>
        <v>0</v>
      </c>
      <c r="AO199" s="74"/>
      <c r="AP199" s="321">
        <f>SUM(AP168:AP197)</f>
        <v>0</v>
      </c>
      <c r="AR199" s="321">
        <f>SUM(AR168:AR197)</f>
        <v>0</v>
      </c>
      <c r="AS199" s="74"/>
      <c r="AT199" s="321">
        <f>SUM(AT168:AT197)</f>
        <v>0</v>
      </c>
      <c r="AU199" s="74"/>
      <c r="AV199" s="321">
        <f>SUM(AV168:AV197)</f>
        <v>0</v>
      </c>
      <c r="AW199" s="74"/>
      <c r="AX199" s="321">
        <f>SUM(AX168:AX197)</f>
        <v>0</v>
      </c>
      <c r="AY199" s="74"/>
      <c r="AZ199" s="321">
        <f>AF199+AH199+AJ199+AL199+AN199+AP199+AR199+AT199+AV199+AX199</f>
        <v>0</v>
      </c>
    </row>
    <row r="200" spans="1:94" x14ac:dyDescent="0.25">
      <c r="H200" s="177"/>
      <c r="J200" s="177"/>
      <c r="K200" s="177"/>
      <c r="L200" s="177"/>
      <c r="M200" s="177"/>
      <c r="N200" s="177"/>
      <c r="O200" s="177"/>
      <c r="P200" s="177"/>
      <c r="Q200" s="177"/>
      <c r="R200" s="177"/>
      <c r="S200" s="177"/>
      <c r="T200" s="177">
        <f>SUM(T194:T197)</f>
        <v>0</v>
      </c>
      <c r="U200" s="177"/>
      <c r="V200" s="177">
        <f>SUM(V194:V197)</f>
        <v>0</v>
      </c>
      <c r="W200" s="177"/>
      <c r="X200" s="177">
        <f>SUM(X194:X197)</f>
        <v>0</v>
      </c>
      <c r="Y200" s="177"/>
      <c r="Z200" s="177">
        <f>SUM(Z194:Z197)</f>
        <v>0</v>
      </c>
      <c r="AA200" s="177"/>
      <c r="AB200" s="177">
        <f>SUM(AB194:AB197)</f>
        <v>0</v>
      </c>
      <c r="AC200" s="40"/>
      <c r="AD200" s="177"/>
      <c r="AI200" s="40"/>
      <c r="AJ200" s="85"/>
      <c r="AK200" s="40"/>
      <c r="AL200" s="85"/>
      <c r="AM200" s="40"/>
      <c r="AN200" s="85"/>
      <c r="AO200" s="40"/>
      <c r="AS200" s="40"/>
      <c r="AT200" s="85"/>
      <c r="AU200" s="40"/>
      <c r="AV200" s="85"/>
      <c r="AW200" s="40"/>
      <c r="AX200" s="85"/>
      <c r="AY200" s="40"/>
      <c r="AZ200" s="321"/>
    </row>
    <row r="201" spans="1:94" x14ac:dyDescent="0.25">
      <c r="M201" s="40"/>
      <c r="N201" s="40"/>
      <c r="O201" s="40"/>
      <c r="P201" s="40"/>
      <c r="Q201" s="40"/>
      <c r="R201" s="40"/>
      <c r="S201" s="40"/>
      <c r="W201" s="40"/>
      <c r="X201" s="40"/>
      <c r="Y201" s="40"/>
      <c r="Z201" s="40"/>
      <c r="AA201" s="40"/>
      <c r="AB201" s="40"/>
      <c r="AC201" s="40"/>
      <c r="AD201" s="74"/>
      <c r="AI201" s="40"/>
      <c r="AJ201" s="85"/>
      <c r="AK201" s="40"/>
      <c r="AL201" s="85"/>
      <c r="AM201" s="40"/>
      <c r="AN201" s="85"/>
      <c r="AO201" s="40"/>
      <c r="AS201" s="40"/>
      <c r="AT201" s="85"/>
      <c r="AU201" s="40"/>
      <c r="AV201" s="85"/>
      <c r="AW201" s="40"/>
      <c r="AX201" s="85"/>
      <c r="AY201" s="40"/>
      <c r="AZ201" s="321"/>
    </row>
    <row r="202" spans="1:94" x14ac:dyDescent="0.25">
      <c r="B202" s="10" t="s">
        <v>14</v>
      </c>
      <c r="C202" s="10" t="s">
        <v>15</v>
      </c>
      <c r="J202" s="9">
        <f>J66+J88+J98+J151+J165+J199</f>
        <v>0</v>
      </c>
      <c r="K202" s="9"/>
      <c r="L202" s="9">
        <f>L66+L88+L98+L151+L165+L199</f>
        <v>0</v>
      </c>
      <c r="M202" s="7"/>
      <c r="N202" s="9">
        <f>N66+N88+N98+N151+N165+N199</f>
        <v>0</v>
      </c>
      <c r="O202" s="40"/>
      <c r="P202" s="9">
        <f>P66+P88+P98+P151+P165+P199</f>
        <v>0</v>
      </c>
      <c r="Q202" s="40"/>
      <c r="R202" s="9">
        <f>R66+R88+R98+R151+R165+R199</f>
        <v>0</v>
      </c>
      <c r="S202" s="40"/>
      <c r="T202" s="9">
        <f>T66+T88+T98+T151+T165+T199</f>
        <v>0</v>
      </c>
      <c r="U202" s="9"/>
      <c r="V202" s="9">
        <f>V66+V88+V98+V151+V165+V199</f>
        <v>0</v>
      </c>
      <c r="W202" s="7"/>
      <c r="X202" s="9">
        <f>X66+X88+X98+X151+X165+X199</f>
        <v>0</v>
      </c>
      <c r="Y202" s="40"/>
      <c r="Z202" s="9">
        <f>Z66+Z88+Z98+Z151+Z165+Z199</f>
        <v>0</v>
      </c>
      <c r="AA202" s="40"/>
      <c r="AB202" s="9">
        <f>AB66+AB88+AB98+AB151+AB165+AB199</f>
        <v>0</v>
      </c>
      <c r="AC202" s="9"/>
      <c r="AD202" s="9">
        <f>J202+L202+N202+P202+R202+T202+V202+X202+Z202+AB202</f>
        <v>0</v>
      </c>
      <c r="AE202" s="9"/>
      <c r="AF202" s="328">
        <f>AF66+AF88+AF98+AF151+AF165+AF199</f>
        <v>0</v>
      </c>
      <c r="AG202" s="9"/>
      <c r="AH202" s="328">
        <f>AH66+AH88+AH98+AH151+AH165+AH199</f>
        <v>0</v>
      </c>
      <c r="AI202" s="7"/>
      <c r="AJ202" s="328">
        <f>AJ66+AJ88+AJ98+AJ151+AJ165+AJ199</f>
        <v>0</v>
      </c>
      <c r="AK202" s="40"/>
      <c r="AL202" s="328">
        <f>AL66+AL88+AL98+AL151+AL165+AL199</f>
        <v>0</v>
      </c>
      <c r="AM202" s="40"/>
      <c r="AN202" s="328">
        <f>AN66+AN88+AN98+AN151+AN165+AN199</f>
        <v>0</v>
      </c>
      <c r="AO202" s="40"/>
      <c r="AP202" s="328">
        <f>AP66+AP88+AP98+AP151+AP165+AP199</f>
        <v>0</v>
      </c>
      <c r="AQ202" s="9"/>
      <c r="AR202" s="328">
        <f>AR66+AR88+AR98+AR151+AR165+AR199</f>
        <v>0</v>
      </c>
      <c r="AS202" s="7"/>
      <c r="AT202" s="328">
        <f>AT66+AT88+AT98+AT151+AT165+AT199</f>
        <v>0</v>
      </c>
      <c r="AU202" s="40"/>
      <c r="AV202" s="328">
        <f>AV66+AV88+AV98+AV151+AV165+AV199</f>
        <v>0</v>
      </c>
      <c r="AW202" s="40"/>
      <c r="AX202" s="328">
        <f>AX66+AX88+AX98+AX151+AX165+AX199</f>
        <v>0</v>
      </c>
      <c r="AY202" s="9"/>
      <c r="AZ202" s="328">
        <f>AF202+AH202+AJ202+AL202+AN202</f>
        <v>0</v>
      </c>
    </row>
    <row r="203" spans="1:94" x14ac:dyDescent="0.25">
      <c r="C203" s="374"/>
      <c r="D203" s="375" t="s">
        <v>479</v>
      </c>
      <c r="E203" s="375"/>
      <c r="F203" s="376"/>
      <c r="G203" s="376"/>
      <c r="H203" s="377"/>
      <c r="I203" s="377"/>
      <c r="J203" s="377">
        <f>J202-J181-J183-J185</f>
        <v>0</v>
      </c>
      <c r="K203" s="377"/>
      <c r="L203" s="377">
        <f>L202-L181-L183-L185</f>
        <v>0</v>
      </c>
      <c r="M203" s="377"/>
      <c r="N203" s="377">
        <f>N202-N181-N183-N185</f>
        <v>0</v>
      </c>
      <c r="O203" s="377"/>
      <c r="P203" s="377">
        <f>P202-P181-P183-P185</f>
        <v>0</v>
      </c>
      <c r="Q203" s="377"/>
      <c r="R203" s="377">
        <f>R202-R181-R183-R185</f>
        <v>0</v>
      </c>
      <c r="S203" s="377"/>
      <c r="T203" s="377"/>
      <c r="U203" s="377"/>
      <c r="V203" s="377"/>
      <c r="W203" s="377"/>
      <c r="X203" s="377"/>
      <c r="Y203" s="377"/>
      <c r="Z203" s="377"/>
      <c r="AA203" s="377"/>
      <c r="AB203" s="377"/>
      <c r="AC203" s="377"/>
      <c r="AD203" s="377">
        <f>AD202-AD181-AD183-AD185</f>
        <v>0</v>
      </c>
      <c r="AE203" s="377"/>
      <c r="AF203" s="377">
        <f>AF202-AF180-AF182-AF190</f>
        <v>0</v>
      </c>
      <c r="AG203" s="377"/>
      <c r="AH203" s="377">
        <f>AH202-AH180-AH182-AH190</f>
        <v>0</v>
      </c>
      <c r="AI203" s="377"/>
      <c r="AJ203" s="377">
        <f>AJ202-AJ180-AJ182-AJ190</f>
        <v>0</v>
      </c>
      <c r="AK203" s="377"/>
      <c r="AL203" s="377">
        <f>AL202-AL180-AL182-AL190</f>
        <v>0</v>
      </c>
      <c r="AM203" s="377"/>
      <c r="AN203" s="377">
        <f>AN202-AN180-AN182-AN190</f>
        <v>0</v>
      </c>
      <c r="AO203" s="377"/>
      <c r="AP203" s="377"/>
      <c r="AQ203" s="377"/>
      <c r="AR203" s="377"/>
      <c r="AS203" s="377"/>
      <c r="AT203" s="377"/>
      <c r="AU203" s="377"/>
      <c r="AV203" s="377"/>
      <c r="AW203" s="377"/>
      <c r="AX203" s="377"/>
      <c r="AY203" s="377"/>
      <c r="AZ203" s="377">
        <f>AZ202-AZ180-AZ182-AZ190</f>
        <v>0</v>
      </c>
      <c r="BA203" s="378" t="s">
        <v>493</v>
      </c>
      <c r="BB203" s="377"/>
      <c r="BC203" s="377"/>
      <c r="BD203" s="377"/>
      <c r="BE203" s="377"/>
      <c r="BF203" s="377"/>
      <c r="BG203" s="377"/>
    </row>
    <row r="205" spans="1:94" x14ac:dyDescent="0.25">
      <c r="A205" s="10"/>
      <c r="B205" s="10" t="s">
        <v>16</v>
      </c>
      <c r="C205" s="10" t="s">
        <v>221</v>
      </c>
      <c r="H205" s="177" t="s">
        <v>257</v>
      </c>
      <c r="I205" s="178"/>
      <c r="J205" s="177">
        <f>J202-J206</f>
        <v>0</v>
      </c>
      <c r="K205" s="177"/>
      <c r="L205" s="177">
        <f>L202-L206</f>
        <v>0</v>
      </c>
      <c r="M205" s="179"/>
      <c r="N205" s="177">
        <f>N202-N206</f>
        <v>0</v>
      </c>
      <c r="O205" s="179"/>
      <c r="P205" s="177">
        <f>P202-P206</f>
        <v>0</v>
      </c>
      <c r="Q205" s="179"/>
      <c r="R205" s="177">
        <f>R202-R206</f>
        <v>0</v>
      </c>
      <c r="S205" s="179"/>
      <c r="T205" s="177">
        <f>T202-T206</f>
        <v>0</v>
      </c>
      <c r="U205" s="177"/>
      <c r="V205" s="177">
        <f>V202-V206</f>
        <v>0</v>
      </c>
      <c r="W205" s="179"/>
      <c r="X205" s="177">
        <f>X202-X206</f>
        <v>0</v>
      </c>
      <c r="Y205" s="179"/>
      <c r="Z205" s="177">
        <f>Z202-Z206</f>
        <v>0</v>
      </c>
      <c r="AA205" s="179"/>
      <c r="AB205" s="177">
        <f>AB202-AB206</f>
        <v>0</v>
      </c>
      <c r="AC205" s="177"/>
      <c r="AD205" s="177">
        <f>AD202-AD206</f>
        <v>0</v>
      </c>
      <c r="AF205" s="329">
        <f>AF202-AF206</f>
        <v>0</v>
      </c>
      <c r="AG205" s="177"/>
      <c r="AH205" s="329">
        <f>AH202-AH206</f>
        <v>0</v>
      </c>
      <c r="AI205" s="179"/>
      <c r="AJ205" s="329">
        <f>AJ202-AJ206</f>
        <v>0</v>
      </c>
      <c r="AK205" s="179"/>
      <c r="AL205" s="329">
        <f>AL202-AL206</f>
        <v>0</v>
      </c>
      <c r="AM205" s="179"/>
      <c r="AN205" s="329">
        <f>AN202-AN206</f>
        <v>0</v>
      </c>
      <c r="AO205" s="179"/>
      <c r="AP205" s="329">
        <f>AP202-AP206</f>
        <v>0</v>
      </c>
      <c r="AQ205" s="177"/>
      <c r="AR205" s="329">
        <f>AR202-AR206</f>
        <v>0</v>
      </c>
      <c r="AS205" s="179"/>
      <c r="AT205" s="329">
        <f>AT202-AT206</f>
        <v>0</v>
      </c>
      <c r="AU205" s="179"/>
      <c r="AV205" s="329">
        <f>AV202-AV206</f>
        <v>0</v>
      </c>
      <c r="AW205" s="179"/>
      <c r="AX205" s="329">
        <f>AX202-AX206</f>
        <v>0</v>
      </c>
      <c r="AY205" s="177"/>
      <c r="AZ205" s="329">
        <f>AZ202-AZ206</f>
        <v>0</v>
      </c>
    </row>
    <row r="206" spans="1:94" x14ac:dyDescent="0.25">
      <c r="A206" s="373"/>
      <c r="B206" s="13"/>
      <c r="D206" s="32" t="s">
        <v>328</v>
      </c>
      <c r="G206" s="40" t="s">
        <v>332</v>
      </c>
      <c r="H206" s="86" t="s">
        <v>85</v>
      </c>
      <c r="J206" s="312">
        <f>IF(H206="TDC",J202,(J202-J98-J165-SUM(J180:J185)-SUM(J192:J197)+50000*G178))</f>
        <v>0</v>
      </c>
      <c r="K206" s="312"/>
      <c r="L206" s="312">
        <f>IF(H206="TDC",L202,(L202-L98-L165-SUM(L180:L185)-SUM(L192:L197)))</f>
        <v>0</v>
      </c>
      <c r="M206" s="312"/>
      <c r="N206" s="312">
        <f>IF(H206="TDC",N202,(N202-N98-N165-SUM(N180:N185)-SUM(N192:N197)))</f>
        <v>0</v>
      </c>
      <c r="O206" s="312"/>
      <c r="P206" s="312">
        <f>IF(H206="TDC",P202,(P202-P98-P165-SUM(P180:P185)-SUM(P192:P197)))</f>
        <v>0</v>
      </c>
      <c r="Q206" s="312"/>
      <c r="R206" s="312">
        <f>IF(H206="TDC",R202,(R202-R98-R165-SUM(R180:R185)-SUM(R192:R197)))</f>
        <v>0</v>
      </c>
      <c r="S206" s="312"/>
      <c r="T206" s="312">
        <f>IF(H206="TDC",T202,(T202-T98-T165-SUM(T180:T185)-SUM(T192:T197)))</f>
        <v>0</v>
      </c>
      <c r="U206" s="312"/>
      <c r="V206" s="312">
        <f>IF(H206="TDC",V202,(V202-V98-V165-SUM(V180:V185)-SUM(V192:V197)))</f>
        <v>0</v>
      </c>
      <c r="W206" s="312"/>
      <c r="X206" s="312">
        <f>IF(H206="TDC",X202,(X202-X98-X165-SUM(X180:X185)-SUM(X192:X197)))</f>
        <v>0</v>
      </c>
      <c r="Y206" s="312"/>
      <c r="Z206" s="312">
        <f>IF(H206="TDC",Z202,(Z202-Z98-Z165-SUM(Z180:Z185)-SUM(Z192:Z197)))</f>
        <v>0</v>
      </c>
      <c r="AA206" s="312"/>
      <c r="AB206" s="312">
        <f>IF(H206="TDC",AB202,(AB202-AB98-AB165-SUM(AB180:AB185)-SUM(AB192:AB197)))</f>
        <v>0</v>
      </c>
      <c r="AC206" s="312"/>
      <c r="AD206" s="18">
        <f>J206+L206+N206+P206+R206+T206+V206+X206+Z206+AB206</f>
        <v>0</v>
      </c>
      <c r="AF206" s="330">
        <f>IF(H206="TDC",AF202,(AF202-AF98-AF165-SUM(AF180:AF185)-SUM(AF192:AF197)))</f>
        <v>0</v>
      </c>
      <c r="AG206" s="312"/>
      <c r="AH206" s="330">
        <f>IF(H206="TDC",AH202,(AH202-AH98-AH165-SUM(AH180:AH185)-SUM(AH192:AH197)))</f>
        <v>0</v>
      </c>
      <c r="AI206" s="312"/>
      <c r="AJ206" s="330">
        <f>IF(H206="TDC",AJ202,(AJ202-AJ98-AJ165-SUM(AJ180:AJ185)-SUM(AJ192:AJ197)))</f>
        <v>0</v>
      </c>
      <c r="AK206" s="312"/>
      <c r="AL206" s="330">
        <f>IF(H206="TDC",AL202,(AL202-AL98-AL165-SUM(AL180:AL185)-SUM(AL192:AL197)))</f>
        <v>0</v>
      </c>
      <c r="AM206" s="312"/>
      <c r="AN206" s="330">
        <f>IF(H206="TDC",AN202,(AN202-AN98-AN165-SUM(AN180:AN185)-SUM(AN192:AN197)))</f>
        <v>0</v>
      </c>
      <c r="AO206" s="312"/>
      <c r="AP206" s="330">
        <f>IF(H206="TDC",AP202,(AP202-AP98-AP165-SUM(AP180:AP185)-SUM(AP192:AP197)))</f>
        <v>0</v>
      </c>
      <c r="AQ206" s="312"/>
      <c r="AR206" s="330">
        <f>IF(H206="TDC",AR202,(AR202-AR98-AR165-SUM(AR180:AR185)-SUM(AR192:AR197)))</f>
        <v>0</v>
      </c>
      <c r="AS206" s="312"/>
      <c r="AT206" s="330">
        <f>IF(H206="TDC",AT202,(AT202-AT98-AT165-SUM(AT180:AT185)-SUM(AT192:AT197)))</f>
        <v>0</v>
      </c>
      <c r="AU206" s="312"/>
      <c r="AV206" s="330">
        <f>IF(H206="TDC",AV202,(AV202-AV98-AV165-SUM(AV180:AV185)-SUM(AV192:AV197)))</f>
        <v>0</v>
      </c>
      <c r="AW206" s="312"/>
      <c r="AX206" s="330">
        <f>IF(H206="TDC",AX202,(AX202-AX98-AX165-SUM(AX180:AX185)-SUM(AX192:AX197)))</f>
        <v>0</v>
      </c>
      <c r="AY206" s="312"/>
      <c r="AZ206" s="337">
        <f>AF206+AH206+AJ206+AL206+AN206+AP206+AR206+AT206+AV206+AX206</f>
        <v>0</v>
      </c>
    </row>
    <row r="207" spans="1:94" x14ac:dyDescent="0.25">
      <c r="A207" s="372"/>
      <c r="B207" s="13"/>
      <c r="C207" s="280" t="s">
        <v>471</v>
      </c>
      <c r="G207" s="13"/>
      <c r="H207" s="343">
        <f>VLOOKUP(D206,Hidden_Lookups!A47:B56,2,FALSE)</f>
        <v>0.57499999999999996</v>
      </c>
      <c r="M207" s="40"/>
      <c r="N207" s="40"/>
      <c r="O207" s="40"/>
      <c r="P207" s="40"/>
      <c r="Q207" s="40"/>
      <c r="R207" s="40"/>
      <c r="S207" s="40"/>
      <c r="W207" s="40"/>
      <c r="X207" s="40"/>
      <c r="Y207" s="40"/>
      <c r="Z207" s="40"/>
      <c r="AA207" s="40"/>
      <c r="AB207" s="40"/>
      <c r="AC207" s="40"/>
      <c r="AD207" s="18"/>
      <c r="AI207" s="40"/>
      <c r="AJ207" s="85"/>
      <c r="AK207" s="40"/>
      <c r="AL207" s="85"/>
      <c r="AM207" s="40"/>
      <c r="AN207" s="85"/>
      <c r="AO207" s="40"/>
      <c r="AS207" s="40"/>
      <c r="AT207" s="85"/>
      <c r="AU207" s="40"/>
      <c r="AV207" s="85"/>
      <c r="AW207" s="40"/>
      <c r="AX207" s="85"/>
      <c r="AY207" s="40"/>
      <c r="AZ207" s="337"/>
    </row>
    <row r="208" spans="1:94" x14ac:dyDescent="0.25">
      <c r="A208" s="372"/>
      <c r="B208" s="13"/>
      <c r="C208" s="73" t="s">
        <v>472</v>
      </c>
      <c r="H208" s="311"/>
      <c r="J208" s="11">
        <f>IF(H206="TDC",$H$207*J202,J206*$H$207)</f>
        <v>0</v>
      </c>
      <c r="L208" s="11">
        <f>IF(H206="TDC",$H$207*L202,L206*$H$207)</f>
        <v>0</v>
      </c>
      <c r="M208" s="74"/>
      <c r="N208" s="11">
        <f>IF(H206="TDC",$H$207*N202,N206*$H$207)</f>
        <v>0</v>
      </c>
      <c r="O208" s="74"/>
      <c r="P208" s="11">
        <f>IF(H206="TDC",$H$207*P202,P206*$H$207)</f>
        <v>0</v>
      </c>
      <c r="Q208" s="11"/>
      <c r="R208" s="11">
        <f>IF(H206="TDC",$H$207*R202,R206*$H$207)</f>
        <v>0</v>
      </c>
      <c r="S208" s="74"/>
      <c r="T208" s="11">
        <f>IF(H206="TDC",$H$207*T202,T206*$H$207)</f>
        <v>0</v>
      </c>
      <c r="V208" s="11">
        <f>IF(H206="TDC",$H$207*V202,V206*$H$207)</f>
        <v>0</v>
      </c>
      <c r="W208" s="74"/>
      <c r="X208" s="11">
        <f>IF(H206="TDC",$H$207*X202,X206*$H$207)</f>
        <v>0</v>
      </c>
      <c r="Y208" s="74"/>
      <c r="Z208" s="11">
        <f>IF(H206="TDC",$H$207*Z202,Z206*$H$207)</f>
        <v>0</v>
      </c>
      <c r="AA208" s="11"/>
      <c r="AB208" s="11">
        <f>IF(H207="TDC",$H$207*AB202,AB206*$H$207)</f>
        <v>0</v>
      </c>
      <c r="AC208" s="74"/>
      <c r="AD208" s="314">
        <f>J208+L208+N208+P208+R208+T208+V208+X208+Z208+AB208</f>
        <v>0</v>
      </c>
      <c r="AE208" s="74"/>
      <c r="AF208" s="331">
        <f>IF(H206="TDC",$H$207*AF202,AF206*$H$207)</f>
        <v>0</v>
      </c>
      <c r="AH208" s="331">
        <f>IF(H206="TDC",$H$207*AH202,AH206*$H$207)</f>
        <v>0</v>
      </c>
      <c r="AI208" s="74"/>
      <c r="AJ208" s="331">
        <f>IF(H206="TDC",$H$207*AJ202,AJ206*$H$207)</f>
        <v>0</v>
      </c>
      <c r="AK208" s="74"/>
      <c r="AL208" s="331">
        <f>IF(H206="TDC",$H$207*AL202,AL206*$H$207)</f>
        <v>0</v>
      </c>
      <c r="AM208" s="11"/>
      <c r="AN208" s="331">
        <f>IF(H206="TDC",$H$207*AN202,AN206*$H$207)</f>
        <v>0</v>
      </c>
      <c r="AO208" s="74"/>
      <c r="AP208" s="331">
        <f>IF(H206="TDC",$H$207*AP202,AP206*$H$207)</f>
        <v>0</v>
      </c>
      <c r="AR208" s="331">
        <f>IF(H206="TDC",$H$207*AR202,AR206*$H$207)</f>
        <v>0</v>
      </c>
      <c r="AS208" s="74"/>
      <c r="AT208" s="331">
        <f>IF(H206="TDC",$H$207*AT202,AT206*$H$207)</f>
        <v>0</v>
      </c>
      <c r="AU208" s="74"/>
      <c r="AV208" s="331">
        <f>IF(H206="TDC",$H$207*AV202,AV206*$H$207)</f>
        <v>0</v>
      </c>
      <c r="AW208" s="11"/>
      <c r="AX208" s="331">
        <f>IF(H206="TDC",$H$207*AX202,AX206*$H$207)</f>
        <v>0</v>
      </c>
      <c r="AY208" s="74"/>
      <c r="AZ208" s="338">
        <f>AF208+AH208+AJ208+AL208+AN208+AP208+AR208+AT208+AV208+AX208</f>
        <v>0</v>
      </c>
    </row>
    <row r="209" spans="1:52" x14ac:dyDescent="0.25">
      <c r="C209" s="13"/>
      <c r="H209" s="13"/>
      <c r="I209" s="13"/>
      <c r="J209" s="40"/>
      <c r="K209" s="40"/>
      <c r="L209" s="40"/>
      <c r="M209" s="40"/>
      <c r="N209" s="40"/>
      <c r="O209" s="40"/>
      <c r="P209" s="40"/>
      <c r="Q209" s="40"/>
      <c r="R209" s="40"/>
      <c r="S209" s="40"/>
      <c r="T209" s="40"/>
      <c r="U209" s="40"/>
      <c r="V209" s="40"/>
      <c r="W209" s="40"/>
      <c r="X209" s="40"/>
      <c r="Y209" s="40"/>
      <c r="Z209" s="40"/>
      <c r="AA209" s="40"/>
      <c r="AB209" s="40"/>
      <c r="AC209" s="40"/>
      <c r="AD209" s="18"/>
      <c r="AE209" s="13"/>
      <c r="AF209" s="85"/>
      <c r="AG209" s="40"/>
      <c r="AH209" s="85"/>
      <c r="AI209" s="40"/>
      <c r="AJ209" s="85"/>
      <c r="AK209" s="40"/>
      <c r="AL209" s="85"/>
      <c r="AM209" s="40"/>
      <c r="AN209" s="85"/>
      <c r="AO209" s="40"/>
      <c r="AP209" s="85"/>
      <c r="AQ209" s="40"/>
      <c r="AR209" s="85"/>
      <c r="AS209" s="40"/>
      <c r="AT209" s="85"/>
      <c r="AU209" s="40"/>
      <c r="AV209" s="85"/>
      <c r="AW209" s="40"/>
      <c r="AX209" s="85"/>
      <c r="AY209" s="40"/>
      <c r="AZ209" s="337"/>
    </row>
    <row r="210" spans="1:52" x14ac:dyDescent="0.25">
      <c r="B210" s="10" t="s">
        <v>41</v>
      </c>
      <c r="C210" s="10" t="s">
        <v>17</v>
      </c>
      <c r="J210" s="74">
        <f>J202+J208</f>
        <v>0</v>
      </c>
      <c r="L210" s="74">
        <f>L202+L208</f>
        <v>0</v>
      </c>
      <c r="M210" s="40"/>
      <c r="N210" s="74">
        <f>N202+N208</f>
        <v>0</v>
      </c>
      <c r="O210" s="74"/>
      <c r="P210" s="74">
        <f>P202+P208</f>
        <v>0</v>
      </c>
      <c r="Q210" s="74"/>
      <c r="R210" s="74">
        <f>R202+R208</f>
        <v>0</v>
      </c>
      <c r="S210" s="74"/>
      <c r="T210" s="74">
        <f>T202+T208</f>
        <v>0</v>
      </c>
      <c r="V210" s="74">
        <f>V202+V208</f>
        <v>0</v>
      </c>
      <c r="W210" s="40"/>
      <c r="X210" s="74">
        <f>X202+X208</f>
        <v>0</v>
      </c>
      <c r="Y210" s="74"/>
      <c r="Z210" s="74">
        <f>Z202+Z208</f>
        <v>0</v>
      </c>
      <c r="AA210" s="74"/>
      <c r="AB210" s="74">
        <f>AB202+AB208</f>
        <v>0</v>
      </c>
      <c r="AC210" s="74"/>
      <c r="AD210" s="18">
        <f>J210+L210+N210+P210+R210+T210+V210+X210+Z210+AB210</f>
        <v>0</v>
      </c>
      <c r="AE210" s="74"/>
      <c r="AF210" s="321">
        <f>AF202+AF208</f>
        <v>0</v>
      </c>
      <c r="AH210" s="321">
        <f>AH202+AH208</f>
        <v>0</v>
      </c>
      <c r="AI210" s="40"/>
      <c r="AJ210" s="321">
        <f>AJ202+AJ208</f>
        <v>0</v>
      </c>
      <c r="AK210" s="74"/>
      <c r="AL210" s="321">
        <f>AL202+AL208</f>
        <v>0</v>
      </c>
      <c r="AM210" s="74"/>
      <c r="AN210" s="321">
        <f>AN202+AN208</f>
        <v>0</v>
      </c>
      <c r="AO210" s="74"/>
      <c r="AP210" s="321">
        <f>AP202+AP208</f>
        <v>0</v>
      </c>
      <c r="AR210" s="321">
        <f>AR202+AR208</f>
        <v>0</v>
      </c>
      <c r="AS210" s="40"/>
      <c r="AT210" s="321">
        <f>AT202+AT208</f>
        <v>0</v>
      </c>
      <c r="AU210" s="74"/>
      <c r="AV210" s="321">
        <f>AV202+AV208</f>
        <v>0</v>
      </c>
      <c r="AW210" s="74"/>
      <c r="AX210" s="321">
        <f>AX202+AX208</f>
        <v>0</v>
      </c>
      <c r="AY210" s="74"/>
      <c r="AZ210" s="337">
        <f>AF210+AH210+AJ210+AL210+AN210+AP210+AR210+AT210+AV210+AX210</f>
        <v>0</v>
      </c>
    </row>
    <row r="211" spans="1:52" x14ac:dyDescent="0.25">
      <c r="B211" s="10"/>
      <c r="C211" s="10"/>
      <c r="M211" s="40"/>
      <c r="N211" s="40"/>
      <c r="O211" s="40"/>
      <c r="P211" s="40"/>
      <c r="Q211" s="40"/>
      <c r="R211" s="40"/>
      <c r="S211" s="40"/>
      <c r="W211" s="40"/>
      <c r="X211" s="40"/>
      <c r="Y211" s="40"/>
      <c r="Z211" s="40"/>
      <c r="AA211" s="40"/>
      <c r="AB211" s="40"/>
      <c r="AC211" s="40"/>
      <c r="AD211" s="18"/>
      <c r="AI211" s="40"/>
      <c r="AJ211" s="85"/>
      <c r="AK211" s="40"/>
      <c r="AL211" s="85"/>
      <c r="AM211" s="40"/>
      <c r="AN211" s="85"/>
      <c r="AO211" s="40"/>
      <c r="AS211" s="40"/>
      <c r="AT211" s="85"/>
      <c r="AU211" s="40"/>
      <c r="AV211" s="85"/>
      <c r="AW211" s="40"/>
      <c r="AX211" s="85"/>
      <c r="AY211" s="40"/>
      <c r="AZ211" s="337"/>
    </row>
    <row r="212" spans="1:52" outlineLevel="1" x14ac:dyDescent="0.25">
      <c r="B212" s="10" t="s">
        <v>254</v>
      </c>
      <c r="C212" s="10" t="s">
        <v>366</v>
      </c>
      <c r="M212" s="40"/>
      <c r="N212" s="40"/>
      <c r="O212" s="40"/>
      <c r="P212" s="40"/>
      <c r="Q212" s="40"/>
      <c r="R212" s="40"/>
      <c r="S212" s="40"/>
      <c r="W212" s="40"/>
      <c r="X212" s="40"/>
      <c r="Y212" s="40"/>
      <c r="Z212" s="40"/>
      <c r="AA212" s="40"/>
      <c r="AB212" s="40"/>
      <c r="AC212" s="40"/>
      <c r="AD212" s="18"/>
      <c r="AI212" s="40"/>
      <c r="AJ212" s="85"/>
      <c r="AK212" s="40"/>
      <c r="AL212" s="85"/>
      <c r="AM212" s="40"/>
      <c r="AN212" s="85"/>
      <c r="AO212" s="40"/>
      <c r="AS212" s="40"/>
      <c r="AT212" s="85"/>
      <c r="AU212" s="40"/>
      <c r="AV212" s="85"/>
      <c r="AW212" s="40"/>
      <c r="AX212" s="85"/>
      <c r="AY212" s="40"/>
      <c r="AZ212" s="337"/>
    </row>
    <row r="213" spans="1:52" outlineLevel="1" x14ac:dyDescent="0.25">
      <c r="B213" s="10"/>
      <c r="C213" s="12" t="s">
        <v>369</v>
      </c>
      <c r="J213" s="74">
        <v>0</v>
      </c>
      <c r="L213" s="74">
        <v>0</v>
      </c>
      <c r="M213" s="40"/>
      <c r="N213" s="40">
        <v>0</v>
      </c>
      <c r="O213" s="40"/>
      <c r="P213" s="40">
        <v>0</v>
      </c>
      <c r="Q213" s="40"/>
      <c r="R213" s="40">
        <v>0</v>
      </c>
      <c r="S213" s="40"/>
      <c r="T213" s="74">
        <v>0</v>
      </c>
      <c r="V213" s="74">
        <v>0</v>
      </c>
      <c r="W213" s="40"/>
      <c r="X213" s="40">
        <v>0</v>
      </c>
      <c r="Y213" s="40"/>
      <c r="Z213" s="40">
        <v>0</v>
      </c>
      <c r="AA213" s="40"/>
      <c r="AB213" s="40">
        <v>0</v>
      </c>
      <c r="AC213" s="40"/>
      <c r="AD213" s="18">
        <f>J213+L213+N213+P213+R213+T213+V213+X213+Z213+AB213</f>
        <v>0</v>
      </c>
      <c r="AF213" s="321">
        <v>0</v>
      </c>
      <c r="AH213" s="321">
        <v>0</v>
      </c>
      <c r="AI213" s="40"/>
      <c r="AJ213" s="85">
        <v>0</v>
      </c>
      <c r="AK213" s="40"/>
      <c r="AL213" s="85">
        <v>0</v>
      </c>
      <c r="AM213" s="40"/>
      <c r="AN213" s="85">
        <v>0</v>
      </c>
      <c r="AO213" s="40"/>
      <c r="AP213" s="321">
        <v>0</v>
      </c>
      <c r="AR213" s="321">
        <v>0</v>
      </c>
      <c r="AS213" s="40"/>
      <c r="AT213" s="85">
        <v>0</v>
      </c>
      <c r="AU213" s="40"/>
      <c r="AV213" s="85">
        <v>0</v>
      </c>
      <c r="AW213" s="40"/>
      <c r="AX213" s="85">
        <v>0</v>
      </c>
      <c r="AY213" s="40"/>
      <c r="AZ213" s="337">
        <f>AF213+AH213+AJ213+AL213+AN213+AP213+AR213+AT213+AV213+AX213</f>
        <v>0</v>
      </c>
    </row>
    <row r="214" spans="1:52" outlineLevel="1" x14ac:dyDescent="0.25">
      <c r="B214" s="10"/>
      <c r="C214" s="12"/>
      <c r="M214" s="40"/>
      <c r="N214" s="40"/>
      <c r="O214" s="40"/>
      <c r="P214" s="40"/>
      <c r="Q214" s="40"/>
      <c r="R214" s="40"/>
      <c r="S214" s="40"/>
      <c r="W214" s="40"/>
      <c r="X214" s="40"/>
      <c r="Y214" s="40"/>
      <c r="Z214" s="40"/>
      <c r="AA214" s="40"/>
      <c r="AB214" s="40"/>
      <c r="AC214" s="40"/>
      <c r="AD214" s="18"/>
      <c r="AI214" s="40"/>
      <c r="AJ214" s="85"/>
      <c r="AK214" s="40"/>
      <c r="AL214" s="85"/>
      <c r="AM214" s="40"/>
      <c r="AN214" s="85"/>
      <c r="AO214" s="40"/>
      <c r="AS214" s="40"/>
      <c r="AT214" s="85"/>
      <c r="AU214" s="40"/>
      <c r="AV214" s="85"/>
      <c r="AW214" s="40"/>
      <c r="AX214" s="85"/>
      <c r="AY214" s="40"/>
      <c r="AZ214" s="337"/>
    </row>
    <row r="215" spans="1:52" outlineLevel="1" x14ac:dyDescent="0.25">
      <c r="B215" s="10" t="s">
        <v>255</v>
      </c>
      <c r="C215" s="10" t="s">
        <v>367</v>
      </c>
      <c r="J215" s="74">
        <f>J213+J210</f>
        <v>0</v>
      </c>
      <c r="L215" s="74">
        <f>L213+L210</f>
        <v>0</v>
      </c>
      <c r="M215" s="40"/>
      <c r="N215" s="74">
        <f>N213+N210</f>
        <v>0</v>
      </c>
      <c r="O215" s="40"/>
      <c r="P215" s="74">
        <f>P213+P210</f>
        <v>0</v>
      </c>
      <c r="Q215" s="40"/>
      <c r="R215" s="74">
        <f>R213+R210</f>
        <v>0</v>
      </c>
      <c r="S215" s="40"/>
      <c r="T215" s="74">
        <f>T213+T210</f>
        <v>0</v>
      </c>
      <c r="V215" s="74">
        <f>V213+V210</f>
        <v>0</v>
      </c>
      <c r="W215" s="40"/>
      <c r="X215" s="74">
        <f>X213+X210</f>
        <v>0</v>
      </c>
      <c r="Y215" s="40"/>
      <c r="Z215" s="74">
        <f>Z213+Z210</f>
        <v>0</v>
      </c>
      <c r="AA215" s="40"/>
      <c r="AB215" s="74">
        <f>AB213+AB210</f>
        <v>0</v>
      </c>
      <c r="AC215" s="74"/>
      <c r="AD215" s="18">
        <f>J215+L215+N215+P215+R215+T215+V215+X215+Z215+AB215</f>
        <v>0</v>
      </c>
      <c r="AF215" s="321">
        <f>AF213+AF210</f>
        <v>0</v>
      </c>
      <c r="AH215" s="321">
        <f>AH213+AH210</f>
        <v>0</v>
      </c>
      <c r="AI215" s="40"/>
      <c r="AJ215" s="321">
        <f>AJ213+AJ210</f>
        <v>0</v>
      </c>
      <c r="AK215" s="40"/>
      <c r="AL215" s="321">
        <f>AL213+AL210</f>
        <v>0</v>
      </c>
      <c r="AM215" s="40"/>
      <c r="AN215" s="321">
        <f>AN213+AN210</f>
        <v>0</v>
      </c>
      <c r="AO215" s="40"/>
      <c r="AP215" s="321">
        <f>AP213+AP210</f>
        <v>0</v>
      </c>
      <c r="AR215" s="321">
        <f>AR213+AR210</f>
        <v>0</v>
      </c>
      <c r="AS215" s="40"/>
      <c r="AT215" s="321">
        <f>AT213+AT210</f>
        <v>0</v>
      </c>
      <c r="AU215" s="40"/>
      <c r="AV215" s="321">
        <f>AV213+AV210</f>
        <v>0</v>
      </c>
      <c r="AW215" s="40"/>
      <c r="AX215" s="321">
        <f>AX213+AX210</f>
        <v>0</v>
      </c>
      <c r="AY215" s="74"/>
      <c r="AZ215" s="337">
        <f>AF215+AH215+AJ215+AL215+AN215+AP215+AR215+AT215+AV215+AX215</f>
        <v>0</v>
      </c>
    </row>
    <row r="216" spans="1:52" outlineLevel="1" x14ac:dyDescent="0.25">
      <c r="B216" s="10"/>
      <c r="C216" s="10"/>
      <c r="M216" s="40"/>
      <c r="N216" s="40"/>
      <c r="O216" s="40"/>
      <c r="P216" s="40"/>
      <c r="Q216" s="40"/>
      <c r="R216" s="40"/>
      <c r="S216" s="40"/>
      <c r="W216" s="40"/>
      <c r="X216" s="40"/>
      <c r="Y216" s="40"/>
      <c r="Z216" s="40"/>
      <c r="AA216" s="40"/>
      <c r="AB216" s="40"/>
      <c r="AC216" s="40"/>
      <c r="AD216" s="74"/>
      <c r="AI216" s="40"/>
      <c r="AJ216" s="85"/>
      <c r="AK216" s="40"/>
      <c r="AL216" s="85"/>
      <c r="AM216" s="40"/>
      <c r="AN216" s="85"/>
      <c r="AO216" s="40"/>
      <c r="AS216" s="40"/>
      <c r="AT216" s="85"/>
      <c r="AU216" s="40"/>
      <c r="AV216" s="85"/>
      <c r="AW216" s="40"/>
      <c r="AX216" s="85"/>
      <c r="AY216" s="40"/>
      <c r="AZ216" s="321"/>
    </row>
    <row r="217" spans="1:52" x14ac:dyDescent="0.25">
      <c r="C217" s="10" t="s">
        <v>364</v>
      </c>
      <c r="G217" s="344">
        <f>AD215</f>
        <v>0</v>
      </c>
      <c r="J217" s="13"/>
      <c r="L217" s="40"/>
      <c r="M217" s="40"/>
      <c r="N217" s="40"/>
      <c r="O217" s="40"/>
      <c r="P217" s="40"/>
      <c r="Q217" s="40"/>
      <c r="R217" s="40"/>
      <c r="S217" s="40"/>
      <c r="T217" s="13"/>
      <c r="V217" s="40"/>
      <c r="W217" s="40"/>
      <c r="X217" s="40"/>
      <c r="Y217" s="40"/>
      <c r="Z217" s="40"/>
      <c r="AA217" s="40"/>
      <c r="AB217" s="40"/>
      <c r="AC217" s="40"/>
      <c r="AD217" s="74"/>
      <c r="AF217" s="322"/>
      <c r="AH217" s="85"/>
      <c r="AI217" s="40"/>
      <c r="AJ217" s="85"/>
      <c r="AK217" s="40"/>
      <c r="AL217" s="85"/>
      <c r="AM217" s="40"/>
      <c r="AN217" s="85"/>
      <c r="AO217" s="40"/>
      <c r="AP217" s="322"/>
      <c r="AR217" s="85"/>
      <c r="AS217" s="40"/>
      <c r="AT217" s="85"/>
      <c r="AU217" s="40"/>
      <c r="AV217" s="85"/>
      <c r="AW217" s="40"/>
      <c r="AX217" s="85"/>
      <c r="AY217" s="40"/>
      <c r="AZ217" s="321"/>
    </row>
    <row r="218" spans="1:52" x14ac:dyDescent="0.25">
      <c r="C218" s="10" t="s">
        <v>333</v>
      </c>
      <c r="G218" s="344">
        <f>AZ215</f>
        <v>0</v>
      </c>
      <c r="J218" s="13"/>
      <c r="L218" s="40"/>
      <c r="M218" s="40"/>
      <c r="N218" s="40"/>
      <c r="O218" s="40"/>
      <c r="P218" s="40"/>
      <c r="Q218" s="40"/>
      <c r="R218" s="40"/>
      <c r="S218" s="40"/>
      <c r="T218" s="13"/>
      <c r="V218" s="40"/>
      <c r="W218" s="40"/>
      <c r="X218" s="40"/>
      <c r="Y218" s="40"/>
      <c r="Z218" s="40"/>
      <c r="AA218" s="40"/>
      <c r="AB218" s="40"/>
      <c r="AC218" s="40"/>
      <c r="AD218" s="74"/>
      <c r="AF218" s="322"/>
      <c r="AH218" s="85"/>
      <c r="AI218" s="40"/>
      <c r="AJ218" s="85"/>
      <c r="AK218" s="40"/>
      <c r="AL218" s="85"/>
      <c r="AM218" s="40"/>
      <c r="AN218" s="85"/>
      <c r="AO218" s="40"/>
      <c r="AP218" s="322"/>
      <c r="AR218" s="85"/>
      <c r="AS218" s="40"/>
      <c r="AT218" s="85"/>
      <c r="AU218" s="40"/>
      <c r="AV218" s="85"/>
      <c r="AW218" s="40"/>
      <c r="AX218" s="85"/>
      <c r="AY218" s="40"/>
      <c r="AZ218" s="321"/>
    </row>
    <row r="219" spans="1:52" x14ac:dyDescent="0.25">
      <c r="C219" s="10" t="s">
        <v>353</v>
      </c>
      <c r="E219" s="12" t="s">
        <v>355</v>
      </c>
      <c r="F219" s="40" t="s">
        <v>365</v>
      </c>
      <c r="G219" s="345">
        <f>IFERROR(IF(F219="Sponsor Request",G218/G217,(G218/(G217+G218))),0)</f>
        <v>0</v>
      </c>
      <c r="H219" s="348"/>
      <c r="J219" s="13"/>
      <c r="L219" s="40"/>
      <c r="M219" s="40"/>
      <c r="N219" s="40"/>
      <c r="O219" s="40"/>
      <c r="P219" s="40"/>
      <c r="Q219" s="40"/>
      <c r="R219" s="40"/>
      <c r="S219" s="40"/>
      <c r="T219" s="13"/>
      <c r="V219" s="40"/>
      <c r="W219" s="40"/>
      <c r="X219" s="40"/>
      <c r="Y219" s="40"/>
      <c r="Z219" s="40"/>
      <c r="AA219" s="40"/>
      <c r="AB219" s="40"/>
      <c r="AC219" s="40"/>
      <c r="AD219" s="74"/>
      <c r="AF219" s="322"/>
      <c r="AH219" s="85"/>
      <c r="AI219" s="40"/>
      <c r="AJ219" s="85"/>
      <c r="AK219" s="40"/>
      <c r="AL219" s="85"/>
      <c r="AM219" s="40"/>
      <c r="AN219" s="85"/>
      <c r="AO219" s="40"/>
      <c r="AP219" s="322"/>
      <c r="AR219" s="85"/>
      <c r="AS219" s="40"/>
      <c r="AT219" s="85"/>
      <c r="AU219" s="40"/>
      <c r="AV219" s="85"/>
      <c r="AW219" s="40"/>
      <c r="AX219" s="85"/>
      <c r="AY219" s="40"/>
      <c r="AZ219" s="321"/>
    </row>
    <row r="220" spans="1:52" x14ac:dyDescent="0.25">
      <c r="A220" s="195" t="s">
        <v>499</v>
      </c>
      <c r="C220" s="10"/>
      <c r="H220" s="348"/>
      <c r="J220" s="9"/>
      <c r="M220" s="40"/>
      <c r="N220" s="40"/>
      <c r="O220" s="40"/>
      <c r="P220" s="40"/>
      <c r="Q220" s="40"/>
      <c r="R220" s="40"/>
      <c r="S220" s="40"/>
      <c r="T220" s="9"/>
      <c r="W220" s="40"/>
      <c r="X220" s="40"/>
      <c r="Y220" s="40"/>
      <c r="Z220" s="40"/>
      <c r="AA220" s="40"/>
      <c r="AB220" s="40"/>
      <c r="AC220" s="40"/>
      <c r="AD220" s="74"/>
      <c r="AF220" s="328"/>
      <c r="AI220" s="40"/>
      <c r="AJ220" s="85"/>
      <c r="AK220" s="40"/>
      <c r="AL220" s="85"/>
      <c r="AM220" s="40"/>
      <c r="AN220" s="85"/>
      <c r="AO220" s="40"/>
      <c r="AP220" s="328"/>
      <c r="AS220" s="40"/>
      <c r="AT220" s="85"/>
      <c r="AU220" s="40"/>
      <c r="AV220" s="85"/>
      <c r="AW220" s="40"/>
      <c r="AX220" s="85"/>
      <c r="AY220" s="40"/>
      <c r="AZ220" s="321"/>
    </row>
    <row r="221" spans="1:52" x14ac:dyDescent="0.25">
      <c r="B221" s="10"/>
      <c r="D221" s="278" t="s">
        <v>310</v>
      </c>
      <c r="E221" s="279"/>
    </row>
    <row r="222" spans="1:52" x14ac:dyDescent="0.25">
      <c r="D222" s="278" t="s">
        <v>311</v>
      </c>
      <c r="E222" s="279"/>
    </row>
    <row r="223" spans="1:52" x14ac:dyDescent="0.25">
      <c r="D223" s="280" t="s">
        <v>312</v>
      </c>
      <c r="E223" s="279"/>
      <c r="H223" s="287"/>
      <c r="I223" s="288"/>
      <c r="J223" s="288"/>
      <c r="T223" s="288"/>
      <c r="AF223" s="332"/>
      <c r="AP223" s="332"/>
    </row>
    <row r="224" spans="1:52" x14ac:dyDescent="0.25">
      <c r="E224" s="279"/>
      <c r="H224" s="287"/>
      <c r="I224" s="288"/>
      <c r="J224" s="288"/>
      <c r="T224" s="288"/>
      <c r="AF224" s="332"/>
      <c r="AP224" s="332"/>
    </row>
    <row r="225" spans="4:43" x14ac:dyDescent="0.25">
      <c r="D225" s="281"/>
      <c r="E225" s="282"/>
    </row>
    <row r="226" spans="4:43" x14ac:dyDescent="0.25">
      <c r="D226" s="278" t="s">
        <v>313</v>
      </c>
      <c r="E226" s="279"/>
    </row>
    <row r="227" spans="4:43" x14ac:dyDescent="0.25">
      <c r="D227" s="281"/>
      <c r="E227" s="282"/>
    </row>
    <row r="228" spans="4:43" x14ac:dyDescent="0.25">
      <c r="D228" s="278" t="s">
        <v>215</v>
      </c>
      <c r="E228" s="279"/>
    </row>
    <row r="229" spans="4:43" x14ac:dyDescent="0.25">
      <c r="D229" s="281"/>
      <c r="E229" s="283"/>
    </row>
    <row r="230" spans="4:43" x14ac:dyDescent="0.25">
      <c r="D230" s="278" t="s">
        <v>314</v>
      </c>
    </row>
    <row r="233" spans="4:43" x14ac:dyDescent="0.25">
      <c r="D233" s="13"/>
      <c r="E233" s="13"/>
      <c r="F233" s="15"/>
      <c r="G233" s="13"/>
      <c r="H233" s="13"/>
      <c r="I233" s="13"/>
      <c r="J233" s="13"/>
      <c r="K233" s="13"/>
      <c r="T233" s="13"/>
      <c r="U233" s="13"/>
      <c r="AF233" s="322"/>
      <c r="AG233" s="13"/>
      <c r="AP233" s="322"/>
      <c r="AQ233" s="13"/>
    </row>
    <row r="234" spans="4:43" x14ac:dyDescent="0.25">
      <c r="G234" s="13"/>
      <c r="H234" s="13"/>
      <c r="I234" s="13"/>
      <c r="J234" s="13"/>
      <c r="K234" s="13"/>
      <c r="T234" s="13"/>
      <c r="U234" s="13"/>
      <c r="AF234" s="322"/>
      <c r="AG234" s="13"/>
      <c r="AP234" s="322"/>
      <c r="AQ234" s="13"/>
    </row>
  </sheetData>
  <customSheetViews>
    <customSheetView guid="{57C5C8F1-8001-4F07-BD71-B2E547A208C7}" printArea="1" filter="1" showAutoFilter="1" hiddenColumns="1">
      <selection activeCell="AG193" sqref="AG193"/>
      <pageMargins left="0.37" right="0.33" top="0.62" bottom="0.64" header="0.5" footer="0.5"/>
      <pageSetup scale="88" orientation="landscape" r:id="rId1"/>
      <headerFooter alignWithMargins="0"/>
      <autoFilter ref="AH16:AH183" xr:uid="{1D19BFFD-46E0-43A7-8A59-36CD866E6B3E}">
        <filterColumn colId="0">
          <filters>
            <filter val="TRUE"/>
          </filters>
        </filterColumn>
      </autoFilter>
    </customSheetView>
    <customSheetView guid="{EEFF5A2A-628E-4803-AAD1-B24B534F2503}" printArea="1" showAutoFilter="1" hiddenColumns="1">
      <selection activeCell="AG193" sqref="AG193"/>
      <pageMargins left="0.37" right="0.33" top="0.62" bottom="0.64" header="0.5" footer="0.5"/>
      <pageSetup scale="88" orientation="landscape" r:id="rId2"/>
      <headerFooter alignWithMargins="0"/>
      <autoFilter ref="AH16:AH183" xr:uid="{F40B9EEB-4759-4082-905F-9E8CE34FCB28}"/>
    </customSheetView>
  </customSheetViews>
  <mergeCells count="25">
    <mergeCell ref="H2:BA2"/>
    <mergeCell ref="H5:BA5"/>
    <mergeCell ref="H6:BA6"/>
    <mergeCell ref="H7:BA8"/>
    <mergeCell ref="CP21:CR21"/>
    <mergeCell ref="E2:G2"/>
    <mergeCell ref="E1:G1"/>
    <mergeCell ref="E3:G3"/>
    <mergeCell ref="BV21:BX21"/>
    <mergeCell ref="BF21:BH21"/>
    <mergeCell ref="BJ21:BL21"/>
    <mergeCell ref="BN21:BP21"/>
    <mergeCell ref="BR21:BT21"/>
    <mergeCell ref="E4:G4"/>
    <mergeCell ref="E18:G18"/>
    <mergeCell ref="D9:G10"/>
    <mergeCell ref="B5:G5"/>
    <mergeCell ref="H3:BA4"/>
    <mergeCell ref="H9:BA11"/>
    <mergeCell ref="H12:BA14"/>
    <mergeCell ref="F179:AD179"/>
    <mergeCell ref="BZ21:CB21"/>
    <mergeCell ref="CD21:CF21"/>
    <mergeCell ref="CH21:CJ21"/>
    <mergeCell ref="CL21:CN21"/>
  </mergeCells>
  <phoneticPr fontId="0" type="noConversion"/>
  <dataValidations count="3">
    <dataValidation type="list" allowBlank="1" showInputMessage="1" showErrorMessage="1" sqref="A21 A65:A66 A175 A149" xr:uid="{00000000-0002-0000-0000-000000000000}">
      <formula1>#REF!</formula1>
    </dataValidation>
    <dataValidation allowBlank="1" showInputMessage="1" sqref="G219 H207" xr:uid="{00000000-0002-0000-0000-000001000000}"/>
    <dataValidation type="list" allowBlank="1" showInputMessage="1" showErrorMessage="1" sqref="BA22 BA26 BA30 BA24 BA28" xr:uid="{FFACC261-F9CE-4EB0-A34E-F336CF74F060}">
      <formula1>"No, Yes"</formula1>
    </dataValidation>
  </dataValidations>
  <pageMargins left="0.37" right="0.33" top="0.62" bottom="0.64" header="0.5" footer="0.5"/>
  <pageSetup scale="66" orientation="portrait" r:id="rId3"/>
  <headerFooter alignWithMargins="0"/>
  <colBreaks count="1" manualBreakCount="1">
    <brk id="30" min="4" max="210" man="1"/>
  </colBreaks>
  <ignoredErrors>
    <ignoredError sqref="I197" evalError="1"/>
    <ignoredError sqref="M206 S206 Q206 O206 AS206 AU206 AW206 AG206 AF206 AH206:AR206 AX206 AV206 AT206" formulaRange="1"/>
    <ignoredError sqref="CB70:CS86 CC23 BZ27:BZ46 BZ25 BZ23 BW24:BY24 BH24:BU24 BH25:BY41 BY22 BU22 BQ22:BS22 BM22:BO22 BI22:BJ22 CB22:CB46 BH23:BY23 BV24 CA23 BP22 BT22 BV22:BX22 BZ22:CA22 BZ26:CA26 BZ24:CA24 CA25 BZ64:CA64 CA27:CA46 CC22 CC25:CC46 CC24 BK22 CB65:CC69 CR26:CS26 CR27:CS46 CR25:CS25 CR23:CS23 CR24:CS24 CR22:CS22 CN25:CO46 CN23:CO23 CN24:CO24 CN22:CO22 CJ25:CK46 CJ23:CK23 CJ24:CK24 CK22 CF25:CG46 CF23:CG23 CF24:CG24 CG22 CD65:CS69 CD23:CE23 CD22:CF22 CH22:CJ22 CD25:CE46 CD24:CE24 CH24:CI24 CH23:CI23 CH25:CI46 CL22:CM22 CL24:CM24 CL23:CM23 CL25:CM46 CP22:CQ22 CP24:CQ24 CP23:CQ23 CP26:CQ26 CP25:CQ25 CP27:CQ46 CB59 CF59:CG59 CJ59:CK59 CN59:CO59 CR59:CS59 BI61:BK64 BI60:BK60 BM60:BO60 BM61:BO64 BH59:BK59 BM59:BY59 BL59 BQ60:BS60 BQ61:BS64 BU60:BW60 BU61:BW64 BY60 BY61:BY64 BH43:BY46 BI42:BY42 BL61 BH61 BP61 BT61 CS61:CS64 BX61 CG61:CG64 CG60 CK61:CK64 CK60 CO61:CO64 CO60 BH63 BL63 BP63 BT63 BX63 BZ59:BZ63 CA59:CA63 CC59:CC64 CD59:CE64 CH59:CI64 CL59:CM64 CP59:CQ64" unlockedFormula="1"/>
  </ignoredErrors>
  <drawing r:id="rId4"/>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3000000}">
          <x14:formula1>
            <xm:f>Hidden_Lookups!$A$47:$A$56</xm:f>
          </x14:formula1>
          <xm:sqref>D206</xm:sqref>
        </x14:dataValidation>
        <x14:dataValidation type="list" allowBlank="1" showInputMessage="1" showErrorMessage="1" xr:uid="{00000000-0002-0000-0000-000005000000}">
          <x14:formula1>
            <xm:f>Hidden_Lookups!$A$37:$A$38</xm:f>
          </x14:formula1>
          <xm:sqref>H206</xm:sqref>
        </x14:dataValidation>
        <x14:dataValidation type="list" showInputMessage="1" showErrorMessage="1" xr:uid="{00000000-0002-0000-0000-000006000000}">
          <x14:formula1>
            <xm:f>Hidden_Lookups!$A$16:$A$17</xm:f>
          </x14:formula1>
          <xm:sqref>BD100</xm:sqref>
        </x14:dataValidation>
        <x14:dataValidation type="list" allowBlank="1" showInputMessage="1" showErrorMessage="1" xr:uid="{00000000-0002-0000-0000-000008000000}">
          <x14:formula1>
            <xm:f>Hidden_Lookups!$A$24:$A$30</xm:f>
          </x14:formula1>
          <xm:sqref>A169:A174 A176:A197</xm:sqref>
        </x14:dataValidation>
        <x14:dataValidation type="list" allowBlank="1" showInputMessage="1" showErrorMessage="1" xr:uid="{00000000-0002-0000-0000-000009000000}">
          <x14:formula1>
            <xm:f>Hidden_Lookups!$A$20:$A$21</xm:f>
          </x14:formula1>
          <xm:sqref>A103:A148</xm:sqref>
        </x14:dataValidation>
        <x14:dataValidation type="list" allowBlank="1" showInputMessage="1" showErrorMessage="1" xr:uid="{00000000-0002-0000-0000-00000A000000}">
          <x14:formula1>
            <xm:f>Hidden_Lookups!$A$59:$A$60</xm:f>
          </x14:formula1>
          <xm:sqref>F219</xm:sqref>
        </x14:dataValidation>
        <x14:dataValidation type="list" allowBlank="1" showInputMessage="1" showErrorMessage="1" xr:uid="{00000000-0002-0000-0000-000002000000}">
          <x14:formula1>
            <xm:f>Hidden_Lookups!$A$16:$A$17</xm:f>
          </x14:formula1>
          <xm:sqref>BD16 BD68</xm:sqref>
        </x14:dataValidation>
        <x14:dataValidation type="list" allowBlank="1" showInputMessage="1" showErrorMessage="1" xr:uid="{00000000-0002-0000-0000-000007000000}">
          <x14:formula1>
            <xm:f>Hidden_Lookups!$A$2:$A$13</xm:f>
          </x14:formula1>
          <xm:sqref>A69:A86 A22:A46 A59:A64</xm:sqref>
        </x14:dataValidation>
      </x14:dataValidations>
    </ex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60"/>
  <sheetViews>
    <sheetView topLeftCell="A34" workbookViewId="0">
      <selection activeCell="B48" sqref="B48"/>
    </sheetView>
  </sheetViews>
  <sheetFormatPr defaultColWidth="9" defaultRowHeight="15" x14ac:dyDescent="0.25"/>
  <cols>
    <col min="1" max="1" width="31.875" style="13" bestFit="1" customWidth="1"/>
    <col min="2" max="2" width="9" style="13"/>
    <col min="3" max="3" width="10.75" style="13" customWidth="1"/>
    <col min="4" max="16384" width="9" style="13"/>
  </cols>
  <sheetData>
    <row r="1" spans="1:2" x14ac:dyDescent="0.25">
      <c r="A1" s="317" t="s">
        <v>344</v>
      </c>
      <c r="B1" s="317" t="s">
        <v>33</v>
      </c>
    </row>
    <row r="2" spans="1:2" x14ac:dyDescent="0.25">
      <c r="A2" s="41" t="s">
        <v>247</v>
      </c>
      <c r="B2" s="316">
        <v>0.40799999999999997</v>
      </c>
    </row>
    <row r="3" spans="1:2" x14ac:dyDescent="0.25">
      <c r="A3" s="41" t="s">
        <v>52</v>
      </c>
      <c r="B3" s="316">
        <v>0.122</v>
      </c>
    </row>
    <row r="4" spans="1:2" x14ac:dyDescent="0.25">
      <c r="A4" s="41" t="s">
        <v>236</v>
      </c>
      <c r="B4" s="316">
        <v>1.6E-2</v>
      </c>
    </row>
    <row r="5" spans="1:2" x14ac:dyDescent="0.25">
      <c r="A5" s="41" t="s">
        <v>250</v>
      </c>
      <c r="B5" s="316">
        <v>0.40799999999999997</v>
      </c>
    </row>
    <row r="6" spans="1:2" x14ac:dyDescent="0.25">
      <c r="A6" s="41" t="s">
        <v>251</v>
      </c>
      <c r="B6" s="316">
        <v>0.14199999999999999</v>
      </c>
    </row>
    <row r="7" spans="1:2" x14ac:dyDescent="0.25">
      <c r="A7" s="41" t="s">
        <v>249</v>
      </c>
      <c r="B7" s="316">
        <v>0.40799999999999997</v>
      </c>
    </row>
    <row r="8" spans="1:2" x14ac:dyDescent="0.25">
      <c r="A8" s="41" t="s">
        <v>269</v>
      </c>
      <c r="B8" s="316">
        <v>0</v>
      </c>
    </row>
    <row r="9" spans="1:2" x14ac:dyDescent="0.25">
      <c r="A9" s="41" t="s">
        <v>256</v>
      </c>
      <c r="B9" s="316">
        <v>0.40799999999999997</v>
      </c>
    </row>
    <row r="10" spans="1:2" x14ac:dyDescent="0.25">
      <c r="A10" s="41" t="s">
        <v>235</v>
      </c>
      <c r="B10" s="316">
        <v>0.33100000000000002</v>
      </c>
    </row>
    <row r="11" spans="1:2" x14ac:dyDescent="0.25">
      <c r="A11" s="41" t="s">
        <v>246</v>
      </c>
      <c r="B11" s="316">
        <v>0.40799999999999997</v>
      </c>
    </row>
    <row r="12" spans="1:2" x14ac:dyDescent="0.25">
      <c r="A12" s="41" t="s">
        <v>356</v>
      </c>
      <c r="B12" s="316">
        <v>0.40799999999999997</v>
      </c>
    </row>
    <row r="13" spans="1:2" x14ac:dyDescent="0.25">
      <c r="A13" s="41" t="s">
        <v>375</v>
      </c>
      <c r="B13" s="316">
        <v>0.14199999999999999</v>
      </c>
    </row>
    <row r="15" spans="1:2" x14ac:dyDescent="0.25">
      <c r="A15" s="317" t="s">
        <v>350</v>
      </c>
    </row>
    <row r="16" spans="1:2" x14ac:dyDescent="0.25">
      <c r="A16" s="13" t="s">
        <v>252</v>
      </c>
    </row>
    <row r="17" spans="1:1" x14ac:dyDescent="0.25">
      <c r="A17" s="13" t="s">
        <v>253</v>
      </c>
    </row>
    <row r="19" spans="1:1" x14ac:dyDescent="0.25">
      <c r="A19" s="317" t="s">
        <v>10</v>
      </c>
    </row>
    <row r="20" spans="1:1" x14ac:dyDescent="0.25">
      <c r="A20" s="318" t="s">
        <v>237</v>
      </c>
    </row>
    <row r="21" spans="1:1" x14ac:dyDescent="0.25">
      <c r="A21" s="318" t="s">
        <v>238</v>
      </c>
    </row>
    <row r="23" spans="1:1" x14ac:dyDescent="0.25">
      <c r="A23" s="317" t="s">
        <v>347</v>
      </c>
    </row>
    <row r="24" spans="1:1" x14ac:dyDescent="0.25">
      <c r="A24" s="41" t="s">
        <v>45</v>
      </c>
    </row>
    <row r="25" spans="1:1" x14ac:dyDescent="0.25">
      <c r="A25" s="41" t="s">
        <v>26</v>
      </c>
    </row>
    <row r="26" spans="1:1" x14ac:dyDescent="0.25">
      <c r="A26" s="41" t="s">
        <v>248</v>
      </c>
    </row>
    <row r="27" spans="1:1" x14ac:dyDescent="0.25">
      <c r="A27" s="41" t="s">
        <v>244</v>
      </c>
    </row>
    <row r="28" spans="1:1" x14ac:dyDescent="0.25">
      <c r="A28" s="41" t="s">
        <v>230</v>
      </c>
    </row>
    <row r="29" spans="1:1" x14ac:dyDescent="0.25">
      <c r="A29" s="41" t="s">
        <v>55</v>
      </c>
    </row>
    <row r="30" spans="1:1" x14ac:dyDescent="0.25">
      <c r="A30" s="41" t="s">
        <v>12</v>
      </c>
    </row>
    <row r="32" spans="1:1" x14ac:dyDescent="0.25">
      <c r="A32" s="317" t="s">
        <v>345</v>
      </c>
    </row>
    <row r="33" spans="1:4" x14ac:dyDescent="0.25">
      <c r="A33" s="13" t="s">
        <v>329</v>
      </c>
      <c r="B33" s="342">
        <v>0.57499999999999996</v>
      </c>
    </row>
    <row r="34" spans="1:4" x14ac:dyDescent="0.25">
      <c r="A34" s="13" t="s">
        <v>330</v>
      </c>
      <c r="B34" s="319">
        <v>0.26</v>
      </c>
    </row>
    <row r="36" spans="1:4" x14ac:dyDescent="0.25">
      <c r="A36" s="317" t="s">
        <v>346</v>
      </c>
    </row>
    <row r="37" spans="1:4" x14ac:dyDescent="0.25">
      <c r="A37" s="13" t="s">
        <v>85</v>
      </c>
    </row>
    <row r="38" spans="1:4" x14ac:dyDescent="0.25">
      <c r="A38" s="13" t="s">
        <v>86</v>
      </c>
    </row>
    <row r="40" spans="1:4" x14ac:dyDescent="0.25">
      <c r="A40" s="317" t="s">
        <v>348</v>
      </c>
    </row>
    <row r="41" spans="1:4" x14ac:dyDescent="0.25">
      <c r="A41" s="13" t="s">
        <v>328</v>
      </c>
    </row>
    <row r="42" spans="1:4" x14ac:dyDescent="0.25">
      <c r="A42" s="13" t="s">
        <v>331</v>
      </c>
    </row>
    <row r="43" spans="1:4" x14ac:dyDescent="0.25">
      <c r="A43" s="13" t="s">
        <v>361</v>
      </c>
    </row>
    <row r="44" spans="1:4" x14ac:dyDescent="0.25">
      <c r="A44" s="13" t="s">
        <v>397</v>
      </c>
    </row>
    <row r="46" spans="1:4" x14ac:dyDescent="0.25">
      <c r="A46" s="317" t="s">
        <v>349</v>
      </c>
    </row>
    <row r="47" spans="1:4" x14ac:dyDescent="0.25">
      <c r="A47" s="13" t="s">
        <v>328</v>
      </c>
      <c r="B47" s="316">
        <v>0.57499999999999996</v>
      </c>
      <c r="D47" s="320"/>
    </row>
    <row r="48" spans="1:4" x14ac:dyDescent="0.25">
      <c r="A48" s="13" t="s">
        <v>331</v>
      </c>
      <c r="B48" s="316">
        <v>0.48</v>
      </c>
    </row>
    <row r="49" spans="1:2" x14ac:dyDescent="0.25">
      <c r="A49" s="13" t="s">
        <v>361</v>
      </c>
      <c r="B49" s="316">
        <v>0.33500000000000002</v>
      </c>
    </row>
    <row r="50" spans="1:2" x14ac:dyDescent="0.25">
      <c r="A50" s="13" t="s">
        <v>397</v>
      </c>
      <c r="B50" s="316">
        <v>0.26</v>
      </c>
    </row>
    <row r="51" spans="1:2" x14ac:dyDescent="0.25">
      <c r="A51" s="13" t="s">
        <v>474</v>
      </c>
      <c r="B51" s="316">
        <v>0.63500000000000001</v>
      </c>
    </row>
    <row r="52" spans="1:2" x14ac:dyDescent="0.25">
      <c r="A52" s="320" t="s">
        <v>399</v>
      </c>
      <c r="B52" s="316">
        <v>0.26</v>
      </c>
    </row>
    <row r="53" spans="1:2" x14ac:dyDescent="0.25">
      <c r="A53" s="320" t="s">
        <v>401</v>
      </c>
      <c r="B53" s="316">
        <v>0.26</v>
      </c>
    </row>
    <row r="54" spans="1:2" x14ac:dyDescent="0.25">
      <c r="A54" s="320" t="s">
        <v>400</v>
      </c>
      <c r="B54" s="316">
        <v>0.26</v>
      </c>
    </row>
    <row r="55" spans="1:2" x14ac:dyDescent="0.25">
      <c r="A55" s="320" t="s">
        <v>475</v>
      </c>
      <c r="B55" s="316">
        <v>0.315</v>
      </c>
    </row>
    <row r="56" spans="1:2" x14ac:dyDescent="0.25">
      <c r="A56" s="320" t="s">
        <v>402</v>
      </c>
      <c r="B56" s="316">
        <v>0.12</v>
      </c>
    </row>
    <row r="58" spans="1:2" x14ac:dyDescent="0.25">
      <c r="A58" s="317" t="s">
        <v>354</v>
      </c>
    </row>
    <row r="59" spans="1:2" x14ac:dyDescent="0.25">
      <c r="A59" s="73" t="s">
        <v>371</v>
      </c>
    </row>
    <row r="60" spans="1:2" x14ac:dyDescent="0.25">
      <c r="A60" s="73" t="s">
        <v>365</v>
      </c>
    </row>
  </sheetData>
  <pageMargins left="0.7" right="0.7" top="0.75" bottom="0.75" header="0.3" footer="0.3"/>
  <pageSetup orientation="portrait" horizontalDpi="4294967293"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Q58"/>
  <sheetViews>
    <sheetView zoomScale="91" workbookViewId="0">
      <selection activeCell="A48" sqref="A48:B48"/>
    </sheetView>
  </sheetViews>
  <sheetFormatPr defaultColWidth="9" defaultRowHeight="15.75" outlineLevelRow="1" outlineLevelCol="1" x14ac:dyDescent="0.25"/>
  <cols>
    <col min="1" max="1" width="13" style="196" customWidth="1"/>
    <col min="2" max="2" width="7" style="197" customWidth="1"/>
    <col min="3" max="3" width="5.375" style="198" customWidth="1"/>
    <col min="4" max="8" width="8.25" style="197" customWidth="1"/>
    <col min="9" max="13" width="8.25" style="197" hidden="1" customWidth="1" outlineLevel="1"/>
    <col min="14" max="14" width="8.25" style="197" customWidth="1" collapsed="1"/>
    <col min="16" max="16" width="55" customWidth="1"/>
  </cols>
  <sheetData>
    <row r="1" spans="1:17" x14ac:dyDescent="0.25">
      <c r="N1" s="340" t="s">
        <v>358</v>
      </c>
      <c r="P1" s="199"/>
    </row>
    <row r="2" spans="1:17" ht="28.5" customHeight="1" x14ac:dyDescent="0.25">
      <c r="A2" s="213" t="str">
        <f>Estimation!C101</f>
        <v>Domestic</v>
      </c>
      <c r="B2" s="214" t="s">
        <v>274</v>
      </c>
      <c r="C2" s="214" t="s">
        <v>275</v>
      </c>
      <c r="D2" s="215" t="str">
        <f>Estimation!$J$18</f>
        <v>Year 1</v>
      </c>
      <c r="E2" s="215" t="str">
        <f>Estimation!$L$18</f>
        <v>Year 2</v>
      </c>
      <c r="F2" s="215" t="str">
        <f>Estimation!$N$18</f>
        <v>Year 3</v>
      </c>
      <c r="G2" s="215" t="str">
        <f>Estimation!$P$18</f>
        <v>Year 4</v>
      </c>
      <c r="H2" s="215" t="str">
        <f>Estimation!$R$18</f>
        <v>Year 5</v>
      </c>
      <c r="I2" s="215" t="str">
        <f>Estimation!$T$18</f>
        <v>Year 6</v>
      </c>
      <c r="J2" s="215" t="str">
        <f>Estimation!$V$18</f>
        <v>Year 7</v>
      </c>
      <c r="K2" s="215" t="str">
        <f>Estimation!$X$18</f>
        <v>Year 8</v>
      </c>
      <c r="L2" s="215" t="str">
        <f>Estimation!$Z$18</f>
        <v>Year 9</v>
      </c>
      <c r="M2" s="215" t="str">
        <f>Estimation!$AB$18</f>
        <v>Year 10</v>
      </c>
      <c r="N2" s="216" t="str">
        <f>Estimation!AD18</f>
        <v>Total</v>
      </c>
      <c r="O2" s="361"/>
      <c r="P2" s="220" t="s">
        <v>315</v>
      </c>
    </row>
    <row r="3" spans="1:17" ht="15.6" customHeight="1" x14ac:dyDescent="0.25">
      <c r="A3" s="427" t="str">
        <f>Estimation!C102</f>
        <v>Conference</v>
      </c>
      <c r="B3" s="427"/>
      <c r="C3" s="427"/>
      <c r="D3" s="427"/>
      <c r="E3" s="427"/>
      <c r="F3" s="427"/>
      <c r="G3" s="427"/>
      <c r="H3" s="427"/>
      <c r="I3" s="427"/>
      <c r="J3" s="427"/>
      <c r="K3" s="427"/>
      <c r="L3" s="427"/>
      <c r="M3" s="427"/>
      <c r="N3" s="427"/>
      <c r="O3" s="361" t="s">
        <v>218</v>
      </c>
      <c r="P3" s="425" t="s">
        <v>278</v>
      </c>
    </row>
    <row r="4" spans="1:17" ht="15.6" customHeight="1" x14ac:dyDescent="0.25">
      <c r="A4" s="423" t="str">
        <f>Estimation!H101</f>
        <v>No. Person-Trips</v>
      </c>
      <c r="B4" s="424"/>
      <c r="C4" s="208"/>
      <c r="D4" s="200">
        <f>Estimation!J102</f>
        <v>0</v>
      </c>
      <c r="E4" s="200">
        <f>Estimation!L102</f>
        <v>0</v>
      </c>
      <c r="F4" s="200">
        <f>Estimation!N102</f>
        <v>0</v>
      </c>
      <c r="G4" s="200">
        <f>Estimation!P102</f>
        <v>0</v>
      </c>
      <c r="H4" s="200">
        <f>Estimation!R102</f>
        <v>0</v>
      </c>
      <c r="I4" s="200">
        <f>Estimation!T102</f>
        <v>0</v>
      </c>
      <c r="J4" s="200">
        <f>Estimation!V102</f>
        <v>0</v>
      </c>
      <c r="K4" s="200">
        <f>Estimation!X102</f>
        <v>0</v>
      </c>
      <c r="L4" s="200">
        <f>Estimation!Z102</f>
        <v>0</v>
      </c>
      <c r="M4" s="200">
        <f>Estimation!AB102</f>
        <v>0</v>
      </c>
      <c r="N4" s="200">
        <f>Estimation!AD102</f>
        <v>0</v>
      </c>
      <c r="O4" s="361"/>
      <c r="P4" s="425"/>
    </row>
    <row r="5" spans="1:17" s="201" customFormat="1" x14ac:dyDescent="0.25">
      <c r="A5" s="200" t="str">
        <f>Estimation!D103</f>
        <v>Airfare</v>
      </c>
      <c r="B5" s="209">
        <f>Estimation!E103</f>
        <v>0</v>
      </c>
      <c r="C5" s="208"/>
      <c r="D5" s="209">
        <f>Estimation!J103</f>
        <v>0</v>
      </c>
      <c r="E5" s="209">
        <f>Estimation!L103</f>
        <v>0</v>
      </c>
      <c r="F5" s="209">
        <f>Estimation!N103</f>
        <v>0</v>
      </c>
      <c r="G5" s="209">
        <f>Estimation!P103</f>
        <v>0</v>
      </c>
      <c r="H5" s="209">
        <f>Estimation!R103</f>
        <v>0</v>
      </c>
      <c r="I5" s="209">
        <f>Estimation!T103</f>
        <v>0</v>
      </c>
      <c r="J5" s="209">
        <f>Estimation!V103</f>
        <v>0</v>
      </c>
      <c r="K5" s="209">
        <f>Estimation!X103</f>
        <v>0</v>
      </c>
      <c r="L5" s="209">
        <f>Estimation!Z103</f>
        <v>0</v>
      </c>
      <c r="M5" s="209">
        <f>Estimation!AB103</f>
        <v>0</v>
      </c>
      <c r="N5" s="209">
        <f>Estimation!AD103</f>
        <v>0</v>
      </c>
      <c r="O5" s="362"/>
      <c r="P5" s="425"/>
    </row>
    <row r="6" spans="1:17" x14ac:dyDescent="0.25">
      <c r="A6" s="200" t="str">
        <f>Estimation!D104</f>
        <v>Lodging</v>
      </c>
      <c r="B6" s="209">
        <f>Estimation!E104</f>
        <v>0</v>
      </c>
      <c r="C6" s="208">
        <f>Estimation!F104</f>
        <v>0</v>
      </c>
      <c r="D6" s="209">
        <f>Estimation!J104</f>
        <v>0</v>
      </c>
      <c r="E6" s="209">
        <f>Estimation!L104</f>
        <v>0</v>
      </c>
      <c r="F6" s="209">
        <f>Estimation!N104</f>
        <v>0</v>
      </c>
      <c r="G6" s="209">
        <f>Estimation!P104</f>
        <v>0</v>
      </c>
      <c r="H6" s="209">
        <f>Estimation!R104</f>
        <v>0</v>
      </c>
      <c r="I6" s="209">
        <f>Estimation!T104</f>
        <v>0</v>
      </c>
      <c r="J6" s="209">
        <f>Estimation!V104</f>
        <v>0</v>
      </c>
      <c r="K6" s="209">
        <f>Estimation!X104</f>
        <v>0</v>
      </c>
      <c r="L6" s="209">
        <f>Estimation!Z104</f>
        <v>0</v>
      </c>
      <c r="M6" s="209">
        <f>Estimation!AB104</f>
        <v>0</v>
      </c>
      <c r="N6" s="209">
        <f>Estimation!AD104</f>
        <v>0</v>
      </c>
      <c r="O6" s="361"/>
      <c r="P6" s="425"/>
    </row>
    <row r="7" spans="1:17" ht="15.6" customHeight="1" x14ac:dyDescent="0.25">
      <c r="A7" s="200" t="str">
        <f>Estimation!D105</f>
        <v>Per Diem</v>
      </c>
      <c r="B7" s="209">
        <f>Estimation!E105</f>
        <v>0</v>
      </c>
      <c r="C7" s="208">
        <f>Estimation!F105</f>
        <v>0</v>
      </c>
      <c r="D7" s="209">
        <f>Estimation!J105</f>
        <v>0</v>
      </c>
      <c r="E7" s="209">
        <f>Estimation!L105</f>
        <v>0</v>
      </c>
      <c r="F7" s="209">
        <f>Estimation!N105</f>
        <v>0</v>
      </c>
      <c r="G7" s="209">
        <f>Estimation!P105</f>
        <v>0</v>
      </c>
      <c r="H7" s="209">
        <f>Estimation!R105</f>
        <v>0</v>
      </c>
      <c r="I7" s="209">
        <f>Estimation!T105</f>
        <v>0</v>
      </c>
      <c r="J7" s="209">
        <f>Estimation!V105</f>
        <v>0</v>
      </c>
      <c r="K7" s="209">
        <f>Estimation!X105</f>
        <v>0</v>
      </c>
      <c r="L7" s="209">
        <f>Estimation!Z105</f>
        <v>0</v>
      </c>
      <c r="M7" s="209">
        <f>Estimation!AB105</f>
        <v>0</v>
      </c>
      <c r="N7" s="209">
        <f>Estimation!AD105</f>
        <v>0</v>
      </c>
      <c r="O7" s="361"/>
      <c r="P7" s="221"/>
      <c r="Q7" s="202"/>
    </row>
    <row r="8" spans="1:17" ht="27.6" customHeight="1" x14ac:dyDescent="0.25">
      <c r="A8" s="203" t="str">
        <f>Estimation!D106</f>
        <v>Ground Transportation</v>
      </c>
      <c r="B8" s="209">
        <f>Estimation!E106</f>
        <v>40</v>
      </c>
      <c r="C8" s="208">
        <f>Estimation!F106</f>
        <v>0</v>
      </c>
      <c r="D8" s="209">
        <f>Estimation!J106</f>
        <v>0</v>
      </c>
      <c r="E8" s="209">
        <f>Estimation!L106</f>
        <v>0</v>
      </c>
      <c r="F8" s="209">
        <f>Estimation!N106</f>
        <v>0</v>
      </c>
      <c r="G8" s="209">
        <f>Estimation!P106</f>
        <v>0</v>
      </c>
      <c r="H8" s="209">
        <f>Estimation!R106</f>
        <v>0</v>
      </c>
      <c r="I8" s="209">
        <f>Estimation!T106</f>
        <v>0</v>
      </c>
      <c r="J8" s="209">
        <f>Estimation!V106</f>
        <v>0</v>
      </c>
      <c r="K8" s="209">
        <f>Estimation!X106</f>
        <v>0</v>
      </c>
      <c r="L8" s="209">
        <f>Estimation!Z106</f>
        <v>0</v>
      </c>
      <c r="M8" s="209">
        <f>Estimation!AB106</f>
        <v>0</v>
      </c>
      <c r="N8" s="209">
        <f>Estimation!AD106</f>
        <v>0</v>
      </c>
      <c r="O8" s="361"/>
      <c r="P8" s="425" t="s">
        <v>282</v>
      </c>
      <c r="Q8" s="202"/>
    </row>
    <row r="9" spans="1:17" x14ac:dyDescent="0.25">
      <c r="A9" s="427" t="str">
        <f>Estimation!C108</f>
        <v>Description</v>
      </c>
      <c r="B9" s="427"/>
      <c r="C9" s="427"/>
      <c r="D9" s="427"/>
      <c r="E9" s="427"/>
      <c r="F9" s="427"/>
      <c r="G9" s="427"/>
      <c r="H9" s="427"/>
      <c r="I9" s="427"/>
      <c r="J9" s="427"/>
      <c r="K9" s="427"/>
      <c r="L9" s="427"/>
      <c r="M9" s="427"/>
      <c r="N9" s="427"/>
      <c r="O9" s="361" t="s">
        <v>218</v>
      </c>
      <c r="P9" s="425"/>
    </row>
    <row r="10" spans="1:17" x14ac:dyDescent="0.25">
      <c r="A10" s="423" t="str">
        <f>Estimation!H107</f>
        <v>No. Person-Trips</v>
      </c>
      <c r="B10" s="424"/>
      <c r="C10" s="208"/>
      <c r="D10" s="200">
        <f>Estimation!J108</f>
        <v>0</v>
      </c>
      <c r="E10" s="200">
        <f>Estimation!L108</f>
        <v>0</v>
      </c>
      <c r="F10" s="200">
        <f>Estimation!N108</f>
        <v>0</v>
      </c>
      <c r="G10" s="200">
        <f>Estimation!P108</f>
        <v>0</v>
      </c>
      <c r="H10" s="200">
        <f>Estimation!R108</f>
        <v>0</v>
      </c>
      <c r="I10" s="200">
        <f>Estimation!T108</f>
        <v>0</v>
      </c>
      <c r="J10" s="200">
        <f>Estimation!V108</f>
        <v>0</v>
      </c>
      <c r="K10" s="200">
        <f>Estimation!X108</f>
        <v>0</v>
      </c>
      <c r="L10" s="200">
        <f>Estimation!Z108</f>
        <v>0</v>
      </c>
      <c r="M10" s="200">
        <f>Estimation!AB108</f>
        <v>0</v>
      </c>
      <c r="N10" s="200">
        <f>Estimation!AD108</f>
        <v>0</v>
      </c>
      <c r="O10" s="361"/>
      <c r="P10" s="223"/>
    </row>
    <row r="11" spans="1:17" x14ac:dyDescent="0.25">
      <c r="A11" s="200" t="str">
        <f>Estimation!D109</f>
        <v>Airfare</v>
      </c>
      <c r="B11" s="209">
        <f>Estimation!E109</f>
        <v>0</v>
      </c>
      <c r="C11" s="208"/>
      <c r="D11" s="209">
        <f>Estimation!J109</f>
        <v>0</v>
      </c>
      <c r="E11" s="209">
        <f>Estimation!L109</f>
        <v>0</v>
      </c>
      <c r="F11" s="209">
        <f>Estimation!N109</f>
        <v>0</v>
      </c>
      <c r="G11" s="209">
        <f>Estimation!P109</f>
        <v>0</v>
      </c>
      <c r="H11" s="209">
        <f>Estimation!R109</f>
        <v>0</v>
      </c>
      <c r="I11" s="209">
        <f>Estimation!T109</f>
        <v>0</v>
      </c>
      <c r="J11" s="209">
        <f>Estimation!V109</f>
        <v>0</v>
      </c>
      <c r="K11" s="209">
        <f>Estimation!X109</f>
        <v>0</v>
      </c>
      <c r="L11" s="209">
        <f>Estimation!Z109</f>
        <v>0</v>
      </c>
      <c r="M11" s="209">
        <f>Estimation!AB109</f>
        <v>0</v>
      </c>
      <c r="N11" s="209">
        <f>Estimation!AD109</f>
        <v>0</v>
      </c>
      <c r="O11" s="361"/>
      <c r="P11" s="221"/>
    </row>
    <row r="12" spans="1:17" x14ac:dyDescent="0.25">
      <c r="A12" s="200" t="str">
        <f>Estimation!D110</f>
        <v>Lodging</v>
      </c>
      <c r="B12" s="209">
        <f>Estimation!E110</f>
        <v>0</v>
      </c>
      <c r="C12" s="208">
        <f>Estimation!F110</f>
        <v>0</v>
      </c>
      <c r="D12" s="209">
        <f>Estimation!J110</f>
        <v>0</v>
      </c>
      <c r="E12" s="209">
        <f>Estimation!L110</f>
        <v>0</v>
      </c>
      <c r="F12" s="209">
        <f>Estimation!N110</f>
        <v>0</v>
      </c>
      <c r="G12" s="209">
        <f>Estimation!P110</f>
        <v>0</v>
      </c>
      <c r="H12" s="209">
        <f>Estimation!R110</f>
        <v>0</v>
      </c>
      <c r="I12" s="209">
        <f>Estimation!T110</f>
        <v>0</v>
      </c>
      <c r="J12" s="209">
        <f>Estimation!V110</f>
        <v>0</v>
      </c>
      <c r="K12" s="209">
        <f>Estimation!X110</f>
        <v>0</v>
      </c>
      <c r="L12" s="209">
        <f>Estimation!Z110</f>
        <v>0</v>
      </c>
      <c r="M12" s="209">
        <f>Estimation!AB110</f>
        <v>0</v>
      </c>
      <c r="N12" s="209">
        <f>Estimation!AD110</f>
        <v>0</v>
      </c>
      <c r="O12" s="361"/>
      <c r="P12" s="425" t="s">
        <v>280</v>
      </c>
    </row>
    <row r="13" spans="1:17" x14ac:dyDescent="0.25">
      <c r="A13" s="200" t="str">
        <f>Estimation!D111</f>
        <v>Per Diem</v>
      </c>
      <c r="B13" s="209">
        <f>Estimation!E111</f>
        <v>0</v>
      </c>
      <c r="C13" s="208">
        <f>Estimation!F111</f>
        <v>0</v>
      </c>
      <c r="D13" s="209">
        <f>Estimation!J111</f>
        <v>0</v>
      </c>
      <c r="E13" s="209">
        <f>Estimation!L111</f>
        <v>0</v>
      </c>
      <c r="F13" s="209">
        <f>Estimation!N111</f>
        <v>0</v>
      </c>
      <c r="G13" s="209">
        <f>Estimation!P111</f>
        <v>0</v>
      </c>
      <c r="H13" s="209">
        <f>Estimation!R111</f>
        <v>0</v>
      </c>
      <c r="I13" s="209">
        <f>Estimation!T111</f>
        <v>0</v>
      </c>
      <c r="J13" s="209">
        <f>Estimation!V111</f>
        <v>0</v>
      </c>
      <c r="K13" s="209">
        <f>Estimation!X111</f>
        <v>0</v>
      </c>
      <c r="L13" s="209">
        <f>Estimation!Z111</f>
        <v>0</v>
      </c>
      <c r="M13" s="209">
        <f>Estimation!AB111</f>
        <v>0</v>
      </c>
      <c r="N13" s="209">
        <f>Estimation!AD111</f>
        <v>0</v>
      </c>
      <c r="O13" s="361"/>
      <c r="P13" s="425"/>
    </row>
    <row r="14" spans="1:17" ht="30" x14ac:dyDescent="0.25">
      <c r="A14" s="203" t="str">
        <f>Estimation!D112</f>
        <v>Ground Transportation</v>
      </c>
      <c r="B14" s="209">
        <f>Estimation!E112</f>
        <v>40</v>
      </c>
      <c r="C14" s="208">
        <f>Estimation!F112</f>
        <v>0</v>
      </c>
      <c r="D14" s="209">
        <f>Estimation!J112</f>
        <v>0</v>
      </c>
      <c r="E14" s="209">
        <f>Estimation!L112</f>
        <v>0</v>
      </c>
      <c r="F14" s="209">
        <f>Estimation!N112</f>
        <v>0</v>
      </c>
      <c r="G14" s="209">
        <f>Estimation!P112</f>
        <v>0</v>
      </c>
      <c r="H14" s="209">
        <f>Estimation!R112</f>
        <v>0</v>
      </c>
      <c r="I14" s="209">
        <f>Estimation!T112</f>
        <v>0</v>
      </c>
      <c r="J14" s="209">
        <f>Estimation!V112</f>
        <v>0</v>
      </c>
      <c r="K14" s="209">
        <f>Estimation!X112</f>
        <v>0</v>
      </c>
      <c r="L14" s="209">
        <f>Estimation!Z112</f>
        <v>0</v>
      </c>
      <c r="M14" s="209">
        <f>Estimation!AB112</f>
        <v>0</v>
      </c>
      <c r="N14" s="209">
        <f>Estimation!AD112</f>
        <v>0</v>
      </c>
      <c r="O14" s="361"/>
      <c r="P14" s="221" t="s">
        <v>276</v>
      </c>
    </row>
    <row r="15" spans="1:17" x14ac:dyDescent="0.25">
      <c r="A15" s="427" t="str">
        <f>Estimation!C114</f>
        <v>Description</v>
      </c>
      <c r="B15" s="427"/>
      <c r="C15" s="427"/>
      <c r="D15" s="427"/>
      <c r="E15" s="427"/>
      <c r="F15" s="427"/>
      <c r="G15" s="427"/>
      <c r="H15" s="427"/>
      <c r="I15" s="427"/>
      <c r="J15" s="427"/>
      <c r="K15" s="427"/>
      <c r="L15" s="427"/>
      <c r="M15" s="427"/>
      <c r="N15" s="427"/>
      <c r="O15" s="361"/>
      <c r="P15" s="221" t="s">
        <v>281</v>
      </c>
    </row>
    <row r="16" spans="1:17" x14ac:dyDescent="0.25">
      <c r="A16" s="423" t="str">
        <f>Estimation!H113</f>
        <v>No. Person-Trips</v>
      </c>
      <c r="B16" s="424"/>
      <c r="C16" s="208"/>
      <c r="D16" s="200">
        <f>Estimation!J114</f>
        <v>0</v>
      </c>
      <c r="E16" s="200">
        <f>Estimation!L114</f>
        <v>0</v>
      </c>
      <c r="F16" s="200">
        <f>Estimation!N114</f>
        <v>0</v>
      </c>
      <c r="G16" s="200">
        <f>Estimation!P114</f>
        <v>0</v>
      </c>
      <c r="H16" s="200">
        <f>Estimation!R114</f>
        <v>0</v>
      </c>
      <c r="I16" s="200">
        <f>Estimation!T114</f>
        <v>0</v>
      </c>
      <c r="J16" s="200">
        <f>Estimation!V114</f>
        <v>0</v>
      </c>
      <c r="K16" s="200">
        <f>Estimation!X114</f>
        <v>0</v>
      </c>
      <c r="L16" s="200">
        <f>Estimation!Z114</f>
        <v>0</v>
      </c>
      <c r="M16" s="200">
        <f>Estimation!AB114</f>
        <v>0</v>
      </c>
      <c r="N16" s="200">
        <f>Estimation!AD114</f>
        <v>0</v>
      </c>
      <c r="O16" s="361"/>
      <c r="P16" s="221"/>
    </row>
    <row r="17" spans="1:16" x14ac:dyDescent="0.25">
      <c r="A17" s="200" t="str">
        <f>Estimation!D115</f>
        <v>Airfare</v>
      </c>
      <c r="B17" s="209">
        <f>Estimation!E115</f>
        <v>0</v>
      </c>
      <c r="C17" s="208"/>
      <c r="D17" s="209">
        <f>Estimation!J115</f>
        <v>0</v>
      </c>
      <c r="E17" s="209">
        <f>Estimation!L115</f>
        <v>0</v>
      </c>
      <c r="F17" s="209">
        <f>Estimation!N115</f>
        <v>0</v>
      </c>
      <c r="G17" s="209">
        <f>Estimation!P115</f>
        <v>0</v>
      </c>
      <c r="H17" s="209">
        <f>Estimation!R115</f>
        <v>0</v>
      </c>
      <c r="I17" s="209">
        <f>Estimation!T115</f>
        <v>0</v>
      </c>
      <c r="J17" s="209">
        <f>Estimation!V115</f>
        <v>0</v>
      </c>
      <c r="K17" s="209">
        <f>Estimation!X115</f>
        <v>0</v>
      </c>
      <c r="L17" s="209">
        <f>Estimation!Z115</f>
        <v>0</v>
      </c>
      <c r="M17" s="209">
        <f>Estimation!AB115</f>
        <v>0</v>
      </c>
      <c r="N17" s="209">
        <f>Estimation!AD115</f>
        <v>0</v>
      </c>
      <c r="O17" s="361"/>
      <c r="P17" s="222"/>
    </row>
    <row r="18" spans="1:16" ht="15.6" customHeight="1" x14ac:dyDescent="0.25">
      <c r="A18" s="200" t="str">
        <f>Estimation!D116</f>
        <v>Lodging</v>
      </c>
      <c r="B18" s="209">
        <f>Estimation!E116</f>
        <v>0</v>
      </c>
      <c r="C18" s="208">
        <f>Estimation!F116</f>
        <v>0</v>
      </c>
      <c r="D18" s="209">
        <f>Estimation!J116</f>
        <v>0</v>
      </c>
      <c r="E18" s="209">
        <f>Estimation!L116</f>
        <v>0</v>
      </c>
      <c r="F18" s="209">
        <f>Estimation!N116</f>
        <v>0</v>
      </c>
      <c r="G18" s="209">
        <f>Estimation!P116</f>
        <v>0</v>
      </c>
      <c r="H18" s="209">
        <f>Estimation!R116</f>
        <v>0</v>
      </c>
      <c r="I18" s="209">
        <f>Estimation!T116</f>
        <v>0</v>
      </c>
      <c r="J18" s="209">
        <f>Estimation!V116</f>
        <v>0</v>
      </c>
      <c r="K18" s="209">
        <f>Estimation!X116</f>
        <v>0</v>
      </c>
      <c r="L18" s="209">
        <f>Estimation!Z116</f>
        <v>0</v>
      </c>
      <c r="M18" s="209">
        <f>Estimation!AB116</f>
        <v>0</v>
      </c>
      <c r="N18" s="209">
        <f>Estimation!AD116</f>
        <v>0</v>
      </c>
      <c r="O18" s="361"/>
      <c r="P18" s="426" t="s">
        <v>279</v>
      </c>
    </row>
    <row r="19" spans="1:16" x14ac:dyDescent="0.25">
      <c r="A19" s="200" t="str">
        <f>Estimation!D117</f>
        <v>Per Diem</v>
      </c>
      <c r="B19" s="209">
        <f>Estimation!E117</f>
        <v>0</v>
      </c>
      <c r="C19" s="208">
        <f>Estimation!F117</f>
        <v>0</v>
      </c>
      <c r="D19" s="209">
        <f>Estimation!J117</f>
        <v>0</v>
      </c>
      <c r="E19" s="209">
        <f>Estimation!L117</f>
        <v>0</v>
      </c>
      <c r="F19" s="209">
        <f>Estimation!N117</f>
        <v>0</v>
      </c>
      <c r="G19" s="209">
        <f>Estimation!P117</f>
        <v>0</v>
      </c>
      <c r="H19" s="209">
        <f>Estimation!R117</f>
        <v>0</v>
      </c>
      <c r="I19" s="209">
        <f>Estimation!T117</f>
        <v>0</v>
      </c>
      <c r="J19" s="209">
        <f>Estimation!V117</f>
        <v>0</v>
      </c>
      <c r="K19" s="209">
        <f>Estimation!X117</f>
        <v>0</v>
      </c>
      <c r="L19" s="209">
        <f>Estimation!Z117</f>
        <v>0</v>
      </c>
      <c r="M19" s="209">
        <f>Estimation!AB117</f>
        <v>0</v>
      </c>
      <c r="N19" s="209">
        <f>Estimation!AD117</f>
        <v>0</v>
      </c>
      <c r="O19" s="361"/>
      <c r="P19" s="426"/>
    </row>
    <row r="20" spans="1:16" ht="30" x14ac:dyDescent="0.25">
      <c r="A20" s="203" t="str">
        <f>Estimation!D118</f>
        <v>Ground Transportation</v>
      </c>
      <c r="B20" s="209">
        <f>Estimation!E118</f>
        <v>40</v>
      </c>
      <c r="C20" s="208">
        <f>Estimation!F118</f>
        <v>0</v>
      </c>
      <c r="D20" s="209">
        <f>Estimation!J118</f>
        <v>0</v>
      </c>
      <c r="E20" s="209">
        <f>Estimation!L118</f>
        <v>0</v>
      </c>
      <c r="F20" s="209">
        <f>Estimation!N118</f>
        <v>0</v>
      </c>
      <c r="G20" s="209">
        <f>Estimation!P118</f>
        <v>0</v>
      </c>
      <c r="H20" s="209">
        <f>Estimation!R118</f>
        <v>0</v>
      </c>
      <c r="I20" s="209">
        <f>Estimation!T118</f>
        <v>0</v>
      </c>
      <c r="J20" s="209">
        <f>Estimation!V118</f>
        <v>0</v>
      </c>
      <c r="K20" s="209">
        <f>Estimation!X118</f>
        <v>0</v>
      </c>
      <c r="L20" s="209">
        <f>Estimation!Z118</f>
        <v>0</v>
      </c>
      <c r="M20" s="209">
        <f>Estimation!AB118</f>
        <v>0</v>
      </c>
      <c r="N20" s="209">
        <f>Estimation!AD118</f>
        <v>0</v>
      </c>
      <c r="O20" s="361"/>
      <c r="P20" s="426"/>
    </row>
    <row r="21" spans="1:16" ht="14.45" customHeight="1" collapsed="1" x14ac:dyDescent="0.25">
      <c r="A21" s="427" t="str">
        <f>Estimation!C120</f>
        <v>Description</v>
      </c>
      <c r="B21" s="427"/>
      <c r="C21" s="427"/>
      <c r="D21" s="427"/>
      <c r="E21" s="427"/>
      <c r="F21" s="427"/>
      <c r="G21" s="427"/>
      <c r="H21" s="427"/>
      <c r="I21" s="427"/>
      <c r="J21" s="427"/>
      <c r="K21" s="427"/>
      <c r="L21" s="427"/>
      <c r="M21" s="427"/>
      <c r="N21" s="427"/>
      <c r="O21" s="361"/>
      <c r="P21" s="426"/>
    </row>
    <row r="22" spans="1:16" ht="14.45" customHeight="1" x14ac:dyDescent="0.25">
      <c r="A22" s="423" t="str">
        <f>Estimation!H119</f>
        <v>No. Person-Trips</v>
      </c>
      <c r="B22" s="424"/>
      <c r="C22" s="208"/>
      <c r="D22" s="200">
        <f>Estimation!J120</f>
        <v>0</v>
      </c>
      <c r="E22" s="200">
        <f>Estimation!L120</f>
        <v>0</v>
      </c>
      <c r="F22" s="200">
        <f>Estimation!N120</f>
        <v>0</v>
      </c>
      <c r="G22" s="200">
        <f>Estimation!P120</f>
        <v>0</v>
      </c>
      <c r="H22" s="200">
        <f>Estimation!R120</f>
        <v>0</v>
      </c>
      <c r="I22" s="200">
        <f>Estimation!T120</f>
        <v>0</v>
      </c>
      <c r="J22" s="200">
        <f>Estimation!V120</f>
        <v>0</v>
      </c>
      <c r="K22" s="200">
        <f>Estimation!X120</f>
        <v>0</v>
      </c>
      <c r="L22" s="200">
        <f>Estimation!Z120</f>
        <v>0</v>
      </c>
      <c r="M22" s="200">
        <f>Estimation!AB120</f>
        <v>0</v>
      </c>
      <c r="N22" s="200">
        <f>Estimation!AD120</f>
        <v>0</v>
      </c>
      <c r="O22" s="361"/>
      <c r="P22" s="426"/>
    </row>
    <row r="23" spans="1:16" x14ac:dyDescent="0.25">
      <c r="A23" s="200" t="str">
        <f>Estimation!D121</f>
        <v>Airfare</v>
      </c>
      <c r="B23" s="209">
        <f>Estimation!E121</f>
        <v>0</v>
      </c>
      <c r="C23" s="208"/>
      <c r="D23" s="209">
        <f>Estimation!J121</f>
        <v>0</v>
      </c>
      <c r="E23" s="209">
        <f>Estimation!L121</f>
        <v>0</v>
      </c>
      <c r="F23" s="209">
        <f>Estimation!N121</f>
        <v>0</v>
      </c>
      <c r="G23" s="209">
        <f>Estimation!P121</f>
        <v>0</v>
      </c>
      <c r="H23" s="209">
        <f>Estimation!R121</f>
        <v>0</v>
      </c>
      <c r="I23" s="209">
        <f>Estimation!T121</f>
        <v>0</v>
      </c>
      <c r="J23" s="209">
        <f>Estimation!V121</f>
        <v>0</v>
      </c>
      <c r="K23" s="209">
        <f>Estimation!X121</f>
        <v>0</v>
      </c>
      <c r="L23" s="209">
        <f>Estimation!Z121</f>
        <v>0</v>
      </c>
      <c r="M23" s="209">
        <f>Estimation!AB121</f>
        <v>0</v>
      </c>
      <c r="N23" s="209">
        <f>Estimation!AD121</f>
        <v>0</v>
      </c>
      <c r="O23" s="361"/>
      <c r="P23" s="426"/>
    </row>
    <row r="24" spans="1:16" x14ac:dyDescent="0.25">
      <c r="A24" s="200" t="str">
        <f>Estimation!D122</f>
        <v>Lodging</v>
      </c>
      <c r="B24" s="209">
        <f>Estimation!E122</f>
        <v>0</v>
      </c>
      <c r="C24" s="208">
        <f>Estimation!F122</f>
        <v>0</v>
      </c>
      <c r="D24" s="209">
        <f>Estimation!J122</f>
        <v>0</v>
      </c>
      <c r="E24" s="209">
        <f>Estimation!L122</f>
        <v>0</v>
      </c>
      <c r="F24" s="209">
        <f>Estimation!N122</f>
        <v>0</v>
      </c>
      <c r="G24" s="209">
        <f>Estimation!P122</f>
        <v>0</v>
      </c>
      <c r="H24" s="209">
        <f>Estimation!R122</f>
        <v>0</v>
      </c>
      <c r="I24" s="209">
        <f>Estimation!T122</f>
        <v>0</v>
      </c>
      <c r="J24" s="209">
        <f>Estimation!V122</f>
        <v>0</v>
      </c>
      <c r="K24" s="209">
        <f>Estimation!X122</f>
        <v>0</v>
      </c>
      <c r="L24" s="209">
        <f>Estimation!Z122</f>
        <v>0</v>
      </c>
      <c r="M24" s="209">
        <f>Estimation!AB122</f>
        <v>0</v>
      </c>
      <c r="N24" s="209">
        <f>Estimation!AD122</f>
        <v>0</v>
      </c>
      <c r="O24" s="361"/>
      <c r="P24" s="219"/>
    </row>
    <row r="25" spans="1:16" x14ac:dyDescent="0.25">
      <c r="A25" s="200" t="str">
        <f>Estimation!D123</f>
        <v>Per Diem</v>
      </c>
      <c r="B25" s="209">
        <f>Estimation!E123</f>
        <v>0</v>
      </c>
      <c r="C25" s="208">
        <f>Estimation!F123</f>
        <v>0</v>
      </c>
      <c r="D25" s="209">
        <f>Estimation!J123</f>
        <v>0</v>
      </c>
      <c r="E25" s="209">
        <f>Estimation!L123</f>
        <v>0</v>
      </c>
      <c r="F25" s="209">
        <f>Estimation!N123</f>
        <v>0</v>
      </c>
      <c r="G25" s="209">
        <f>Estimation!P123</f>
        <v>0</v>
      </c>
      <c r="H25" s="209">
        <f>Estimation!R123</f>
        <v>0</v>
      </c>
      <c r="I25" s="209">
        <f>Estimation!T123</f>
        <v>0</v>
      </c>
      <c r="J25" s="209">
        <f>Estimation!V123</f>
        <v>0</v>
      </c>
      <c r="K25" s="209">
        <f>Estimation!X123</f>
        <v>0</v>
      </c>
      <c r="L25" s="209">
        <f>Estimation!Z123</f>
        <v>0</v>
      </c>
      <c r="M25" s="209">
        <f>Estimation!AB123</f>
        <v>0</v>
      </c>
      <c r="N25" s="209">
        <f>Estimation!AD123</f>
        <v>0</v>
      </c>
      <c r="O25" s="361"/>
    </row>
    <row r="26" spans="1:16" ht="30" x14ac:dyDescent="0.25">
      <c r="A26" s="203" t="str">
        <f>Estimation!D124</f>
        <v>Ground Transportation</v>
      </c>
      <c r="B26" s="209">
        <f>Estimation!E124</f>
        <v>40</v>
      </c>
      <c r="C26" s="208">
        <f>Estimation!F124</f>
        <v>0</v>
      </c>
      <c r="D26" s="209">
        <f>Estimation!J124</f>
        <v>0</v>
      </c>
      <c r="E26" s="209">
        <f>Estimation!L124</f>
        <v>0</v>
      </c>
      <c r="F26" s="209">
        <f>Estimation!N124</f>
        <v>0</v>
      </c>
      <c r="G26" s="209">
        <f>Estimation!P124</f>
        <v>0</v>
      </c>
      <c r="H26" s="209">
        <f>Estimation!R124</f>
        <v>0</v>
      </c>
      <c r="I26" s="209">
        <f>Estimation!T124</f>
        <v>0</v>
      </c>
      <c r="J26" s="209">
        <f>Estimation!V124</f>
        <v>0</v>
      </c>
      <c r="K26" s="209">
        <f>Estimation!X124</f>
        <v>0</v>
      </c>
      <c r="L26" s="209">
        <f>Estimation!Z124</f>
        <v>0</v>
      </c>
      <c r="M26" s="209">
        <f>Estimation!AB124</f>
        <v>0</v>
      </c>
      <c r="N26" s="209">
        <f>Estimation!AD124</f>
        <v>0</v>
      </c>
      <c r="O26" s="361"/>
      <c r="P26" s="220"/>
    </row>
    <row r="27" spans="1:16" ht="15.6" customHeight="1" outlineLevel="1" x14ac:dyDescent="0.25">
      <c r="A27" s="427" t="str">
        <f>Estimation!D127</f>
        <v>Description</v>
      </c>
      <c r="B27" s="427"/>
      <c r="C27" s="427"/>
      <c r="D27" s="427"/>
      <c r="E27" s="427"/>
      <c r="F27" s="427"/>
      <c r="G27" s="427"/>
      <c r="H27" s="427"/>
      <c r="I27" s="427"/>
      <c r="J27" s="427"/>
      <c r="K27" s="427"/>
      <c r="L27" s="427"/>
      <c r="M27" s="427"/>
      <c r="N27" s="427"/>
      <c r="O27" s="361"/>
      <c r="P27" s="223"/>
    </row>
    <row r="28" spans="1:16" ht="42.75" outlineLevel="1" x14ac:dyDescent="0.25">
      <c r="A28" s="200" t="str">
        <f>Estimation!C126</f>
        <v>Mileage</v>
      </c>
      <c r="B28" s="216" t="str">
        <f>Estimation!E126</f>
        <v>Cost</v>
      </c>
      <c r="C28" s="218" t="s">
        <v>277</v>
      </c>
      <c r="D28" s="200"/>
      <c r="E28" s="200"/>
      <c r="F28" s="200"/>
      <c r="G28" s="200"/>
      <c r="H28" s="200"/>
      <c r="I28" s="200"/>
      <c r="J28" s="200"/>
      <c r="K28" s="200"/>
      <c r="L28" s="200"/>
      <c r="M28" s="200"/>
      <c r="N28" s="200"/>
      <c r="O28" s="361"/>
      <c r="P28" s="223"/>
    </row>
    <row r="29" spans="1:16" outlineLevel="1" x14ac:dyDescent="0.25">
      <c r="A29" s="423" t="str">
        <f>Estimation!H125</f>
        <v>No. Vehicle-Trips</v>
      </c>
      <c r="B29" s="424"/>
      <c r="C29" s="208"/>
      <c r="D29" s="200">
        <f>Estimation!J126</f>
        <v>0</v>
      </c>
      <c r="E29" s="200">
        <f>Estimation!L126</f>
        <v>0</v>
      </c>
      <c r="F29" s="200">
        <f>Estimation!N126</f>
        <v>0</v>
      </c>
      <c r="G29" s="200">
        <f>Estimation!P126</f>
        <v>0</v>
      </c>
      <c r="H29" s="200">
        <f>Estimation!R126</f>
        <v>0</v>
      </c>
      <c r="I29" s="200">
        <f>Estimation!T126</f>
        <v>0</v>
      </c>
      <c r="J29" s="200">
        <f>Estimation!V126</f>
        <v>0</v>
      </c>
      <c r="K29" s="200">
        <f>Estimation!X126</f>
        <v>0</v>
      </c>
      <c r="L29" s="200">
        <f>Estimation!Z126</f>
        <v>0</v>
      </c>
      <c r="M29" s="200">
        <f>Estimation!AB126</f>
        <v>0</v>
      </c>
      <c r="N29" s="200">
        <f>Estimation!AD126</f>
        <v>0</v>
      </c>
      <c r="O29" s="361"/>
      <c r="P29" s="223"/>
    </row>
    <row r="30" spans="1:16" outlineLevel="1" x14ac:dyDescent="0.25">
      <c r="A30" s="200" t="str">
        <f>Estimation!D127</f>
        <v>Description</v>
      </c>
      <c r="B30" s="210">
        <f>Estimation!E127</f>
        <v>0.63</v>
      </c>
      <c r="C30" s="208">
        <f>Estimation!F127</f>
        <v>0</v>
      </c>
      <c r="D30" s="209">
        <f>Estimation!J127</f>
        <v>0</v>
      </c>
      <c r="E30" s="209">
        <f>Estimation!L127</f>
        <v>0</v>
      </c>
      <c r="F30" s="209">
        <f>Estimation!N127</f>
        <v>0</v>
      </c>
      <c r="G30" s="209">
        <f>Estimation!P127</f>
        <v>0</v>
      </c>
      <c r="H30" s="209">
        <f>Estimation!R127</f>
        <v>0</v>
      </c>
      <c r="I30" s="209">
        <f>Estimation!T127</f>
        <v>0</v>
      </c>
      <c r="J30" s="209">
        <f>Estimation!V127</f>
        <v>0</v>
      </c>
      <c r="K30" s="209">
        <f>Estimation!X127</f>
        <v>0</v>
      </c>
      <c r="L30" s="209">
        <f>Estimation!Z127</f>
        <v>0</v>
      </c>
      <c r="M30" s="209">
        <f>Estimation!AB127</f>
        <v>0</v>
      </c>
      <c r="N30" s="209">
        <f>Estimation!AD127</f>
        <v>0</v>
      </c>
      <c r="O30" s="361"/>
      <c r="P30" s="223"/>
    </row>
    <row r="31" spans="1:16" ht="15.75" customHeight="1" outlineLevel="1" x14ac:dyDescent="0.25">
      <c r="A31" s="204"/>
      <c r="B31" s="205"/>
      <c r="C31" s="205"/>
      <c r="D31" s="205"/>
      <c r="E31" s="205"/>
      <c r="F31" s="205"/>
      <c r="G31" s="205"/>
      <c r="H31" s="205"/>
      <c r="I31" s="205"/>
      <c r="J31" s="205"/>
      <c r="K31" s="205"/>
      <c r="L31" s="205"/>
      <c r="M31" s="205"/>
      <c r="N31" s="206"/>
      <c r="O31" s="361"/>
    </row>
    <row r="32" spans="1:16" ht="15.6" customHeight="1" x14ac:dyDescent="0.25">
      <c r="A32" s="428" t="s">
        <v>392</v>
      </c>
      <c r="B32" s="429"/>
      <c r="C32" s="429"/>
      <c r="D32" s="211">
        <f>Estimation!J129</f>
        <v>0</v>
      </c>
      <c r="E32" s="211">
        <f>Estimation!L129</f>
        <v>0</v>
      </c>
      <c r="F32" s="211">
        <f>Estimation!N129</f>
        <v>0</v>
      </c>
      <c r="G32" s="211">
        <f>Estimation!P129</f>
        <v>0</v>
      </c>
      <c r="H32" s="211">
        <f>Estimation!R129</f>
        <v>0</v>
      </c>
      <c r="I32" s="211">
        <f>Estimation!T129</f>
        <v>0</v>
      </c>
      <c r="J32" s="211">
        <f>Estimation!V129</f>
        <v>0</v>
      </c>
      <c r="K32" s="211">
        <f>Estimation!X129</f>
        <v>0</v>
      </c>
      <c r="L32" s="211">
        <f>Estimation!Z129</f>
        <v>0</v>
      </c>
      <c r="M32" s="211">
        <f>Estimation!AB129</f>
        <v>0</v>
      </c>
      <c r="N32" s="211">
        <f>Estimation!AD129</f>
        <v>0</v>
      </c>
      <c r="O32" s="361"/>
      <c r="P32" s="223"/>
    </row>
    <row r="33" spans="1:16" ht="15.75" customHeight="1" outlineLevel="1" x14ac:dyDescent="0.25">
      <c r="A33" s="204"/>
      <c r="B33" s="205"/>
      <c r="C33" s="205"/>
      <c r="D33" s="205"/>
      <c r="E33" s="205"/>
      <c r="F33" s="205"/>
      <c r="G33" s="205"/>
      <c r="H33" s="205"/>
      <c r="I33" s="205"/>
      <c r="J33" s="205"/>
      <c r="K33" s="205"/>
      <c r="L33" s="205"/>
      <c r="M33" s="205"/>
      <c r="N33" s="206"/>
      <c r="O33" s="361"/>
    </row>
    <row r="34" spans="1:16" ht="27" customHeight="1" outlineLevel="1" collapsed="1" x14ac:dyDescent="0.25">
      <c r="A34" s="217" t="str">
        <f>Estimation!C131</f>
        <v>International</v>
      </c>
      <c r="B34" s="214" t="s">
        <v>274</v>
      </c>
      <c r="C34" s="214" t="s">
        <v>275</v>
      </c>
      <c r="D34" s="215" t="str">
        <f>Estimation!$J$18</f>
        <v>Year 1</v>
      </c>
      <c r="E34" s="215" t="str">
        <f>Estimation!$L$18</f>
        <v>Year 2</v>
      </c>
      <c r="F34" s="215" t="str">
        <f>Estimation!$N$18</f>
        <v>Year 3</v>
      </c>
      <c r="G34" s="215" t="str">
        <f>Estimation!$P$18</f>
        <v>Year 4</v>
      </c>
      <c r="H34" s="215" t="str">
        <f>Estimation!$R$18</f>
        <v>Year 5</v>
      </c>
      <c r="I34" s="215" t="str">
        <f>Estimation!$T$18</f>
        <v>Year 6</v>
      </c>
      <c r="J34" s="215" t="str">
        <f>Estimation!$V$18</f>
        <v>Year 7</v>
      </c>
      <c r="K34" s="215" t="str">
        <f>Estimation!$X$18</f>
        <v>Year 8</v>
      </c>
      <c r="L34" s="215" t="str">
        <f>Estimation!$Z$18</f>
        <v>Year 9</v>
      </c>
      <c r="M34" s="215" t="str">
        <f>Estimation!$AB$18</f>
        <v>Year 10</v>
      </c>
      <c r="N34" s="216" t="str">
        <f>Estimation!AD18</f>
        <v>Total</v>
      </c>
      <c r="O34" s="361"/>
      <c r="P34" s="422"/>
    </row>
    <row r="35" spans="1:16" outlineLevel="1" x14ac:dyDescent="0.25">
      <c r="A35" s="427" t="str">
        <f>Estimation!C132</f>
        <v>Description</v>
      </c>
      <c r="B35" s="427"/>
      <c r="C35" s="427"/>
      <c r="D35" s="427"/>
      <c r="E35" s="427"/>
      <c r="F35" s="427"/>
      <c r="G35" s="427"/>
      <c r="H35" s="427"/>
      <c r="I35" s="427"/>
      <c r="J35" s="427"/>
      <c r="K35" s="427"/>
      <c r="L35" s="427"/>
      <c r="M35" s="427"/>
      <c r="N35" s="427"/>
      <c r="O35" s="361"/>
      <c r="P35" s="422"/>
    </row>
    <row r="36" spans="1:16" outlineLevel="1" x14ac:dyDescent="0.25">
      <c r="A36" s="423" t="str">
        <f>Estimation!H131</f>
        <v>No. Person-Trips</v>
      </c>
      <c r="B36" s="424"/>
      <c r="C36" s="208"/>
      <c r="D36" s="200">
        <f>Estimation!J132</f>
        <v>0</v>
      </c>
      <c r="E36" s="200">
        <f>Estimation!L132</f>
        <v>0</v>
      </c>
      <c r="F36" s="200">
        <f>Estimation!N132</f>
        <v>0</v>
      </c>
      <c r="G36" s="200">
        <f>Estimation!P132</f>
        <v>0</v>
      </c>
      <c r="H36" s="200">
        <f>Estimation!R132</f>
        <v>0</v>
      </c>
      <c r="I36" s="200">
        <f>Estimation!T132</f>
        <v>0</v>
      </c>
      <c r="J36" s="200">
        <f>Estimation!V132</f>
        <v>0</v>
      </c>
      <c r="K36" s="200">
        <f>Estimation!X132</f>
        <v>0</v>
      </c>
      <c r="L36" s="200">
        <f>Estimation!Z132</f>
        <v>0</v>
      </c>
      <c r="M36" s="200">
        <f>Estimation!AB132</f>
        <v>0</v>
      </c>
      <c r="N36" s="200">
        <f>Estimation!AD132</f>
        <v>0</v>
      </c>
      <c r="O36" s="361"/>
      <c r="P36" s="360"/>
    </row>
    <row r="37" spans="1:16" ht="15.6" customHeight="1" outlineLevel="1" x14ac:dyDescent="0.25">
      <c r="A37" s="200" t="str">
        <f>Estimation!D133</f>
        <v>Airfare</v>
      </c>
      <c r="B37" s="209">
        <f>Estimation!E133</f>
        <v>0</v>
      </c>
      <c r="C37" s="208"/>
      <c r="D37" s="209">
        <f>Estimation!J133</f>
        <v>0</v>
      </c>
      <c r="E37" s="209">
        <f>Estimation!L133</f>
        <v>0</v>
      </c>
      <c r="F37" s="209">
        <f>Estimation!N133</f>
        <v>0</v>
      </c>
      <c r="G37" s="209">
        <f>Estimation!P133</f>
        <v>0</v>
      </c>
      <c r="H37" s="209">
        <f>Estimation!R133</f>
        <v>0</v>
      </c>
      <c r="I37" s="209">
        <f>Estimation!T133</f>
        <v>0</v>
      </c>
      <c r="J37" s="209">
        <f>Estimation!V133</f>
        <v>0</v>
      </c>
      <c r="K37" s="209">
        <f>Estimation!X133</f>
        <v>0</v>
      </c>
      <c r="L37" s="209">
        <f>Estimation!Z133</f>
        <v>0</v>
      </c>
      <c r="M37" s="209">
        <f>Estimation!AB133</f>
        <v>0</v>
      </c>
      <c r="N37" s="209">
        <f>Estimation!AD133</f>
        <v>0</v>
      </c>
      <c r="O37" s="361"/>
      <c r="P37" s="422"/>
    </row>
    <row r="38" spans="1:16" ht="15.95" customHeight="1" outlineLevel="1" x14ac:dyDescent="0.25">
      <c r="A38" s="200" t="str">
        <f>Estimation!D134</f>
        <v>Lodging</v>
      </c>
      <c r="B38" s="209">
        <f>Estimation!E134</f>
        <v>0</v>
      </c>
      <c r="C38" s="208">
        <f>Estimation!F134</f>
        <v>0</v>
      </c>
      <c r="D38" s="209">
        <f>Estimation!J134</f>
        <v>0</v>
      </c>
      <c r="E38" s="209">
        <f>Estimation!L134</f>
        <v>0</v>
      </c>
      <c r="F38" s="209">
        <f>Estimation!N134</f>
        <v>0</v>
      </c>
      <c r="G38" s="209">
        <f>Estimation!P134</f>
        <v>0</v>
      </c>
      <c r="H38" s="209">
        <f>Estimation!R134</f>
        <v>0</v>
      </c>
      <c r="I38" s="209">
        <f>Estimation!T134</f>
        <v>0</v>
      </c>
      <c r="J38" s="209">
        <f>Estimation!V134</f>
        <v>0</v>
      </c>
      <c r="K38" s="209">
        <f>Estimation!X134</f>
        <v>0</v>
      </c>
      <c r="L38" s="209">
        <f>Estimation!Z134</f>
        <v>0</v>
      </c>
      <c r="M38" s="209">
        <f>Estimation!AB134</f>
        <v>0</v>
      </c>
      <c r="N38" s="209">
        <f>Estimation!AD134</f>
        <v>0</v>
      </c>
      <c r="O38" s="361"/>
      <c r="P38" s="422"/>
    </row>
    <row r="39" spans="1:16" outlineLevel="1" x14ac:dyDescent="0.25">
      <c r="A39" s="200" t="str">
        <f>Estimation!D135</f>
        <v>Per Diem</v>
      </c>
      <c r="B39" s="209">
        <f>Estimation!E135</f>
        <v>0</v>
      </c>
      <c r="C39" s="208">
        <f>Estimation!F135</f>
        <v>0</v>
      </c>
      <c r="D39" s="209">
        <f>Estimation!J135</f>
        <v>0</v>
      </c>
      <c r="E39" s="209">
        <f>Estimation!L135</f>
        <v>0</v>
      </c>
      <c r="F39" s="209">
        <f>Estimation!N135</f>
        <v>0</v>
      </c>
      <c r="G39" s="209">
        <f>Estimation!P135</f>
        <v>0</v>
      </c>
      <c r="H39" s="209">
        <f>Estimation!R135</f>
        <v>0</v>
      </c>
      <c r="I39" s="209">
        <f>Estimation!T135</f>
        <v>0</v>
      </c>
      <c r="J39" s="209">
        <f>Estimation!V135</f>
        <v>0</v>
      </c>
      <c r="K39" s="209">
        <f>Estimation!X135</f>
        <v>0</v>
      </c>
      <c r="L39" s="209">
        <f>Estimation!Z135</f>
        <v>0</v>
      </c>
      <c r="M39" s="209">
        <f>Estimation!AB135</f>
        <v>0</v>
      </c>
      <c r="N39" s="209">
        <f>Estimation!AD135</f>
        <v>0</v>
      </c>
      <c r="O39" s="361"/>
      <c r="P39" s="223"/>
    </row>
    <row r="40" spans="1:16" ht="30" outlineLevel="1" x14ac:dyDescent="0.25">
      <c r="A40" s="203" t="str">
        <f>Estimation!D136</f>
        <v>Ground Transportation</v>
      </c>
      <c r="B40" s="209">
        <f>Estimation!E136</f>
        <v>40</v>
      </c>
      <c r="C40" s="208">
        <f>Estimation!F136</f>
        <v>0</v>
      </c>
      <c r="D40" s="209">
        <f>Estimation!J136</f>
        <v>0</v>
      </c>
      <c r="E40" s="209">
        <f>Estimation!L136</f>
        <v>0</v>
      </c>
      <c r="F40" s="209">
        <f>Estimation!N136</f>
        <v>0</v>
      </c>
      <c r="G40" s="209">
        <f>Estimation!P136</f>
        <v>0</v>
      </c>
      <c r="H40" s="209">
        <f>Estimation!R136</f>
        <v>0</v>
      </c>
      <c r="I40" s="209">
        <f>Estimation!T136</f>
        <v>0</v>
      </c>
      <c r="J40" s="209">
        <f>Estimation!V136</f>
        <v>0</v>
      </c>
      <c r="K40" s="209">
        <f>Estimation!X136</f>
        <v>0</v>
      </c>
      <c r="L40" s="209">
        <f>Estimation!Z136</f>
        <v>0</v>
      </c>
      <c r="M40" s="209">
        <f>Estimation!AB136</f>
        <v>0</v>
      </c>
      <c r="N40" s="209">
        <f>Estimation!AD136</f>
        <v>0</v>
      </c>
      <c r="O40" s="361"/>
    </row>
    <row r="41" spans="1:16" outlineLevel="1" x14ac:dyDescent="0.25">
      <c r="A41" s="427" t="str">
        <f>Estimation!C138</f>
        <v>Description</v>
      </c>
      <c r="B41" s="427"/>
      <c r="C41" s="427"/>
      <c r="D41" s="427"/>
      <c r="E41" s="427"/>
      <c r="F41" s="427"/>
      <c r="G41" s="427"/>
      <c r="H41" s="427"/>
      <c r="I41" s="427"/>
      <c r="J41" s="427"/>
      <c r="K41" s="427"/>
      <c r="L41" s="427"/>
      <c r="M41" s="427"/>
      <c r="N41" s="427"/>
      <c r="O41" s="361"/>
    </row>
    <row r="42" spans="1:16" outlineLevel="1" x14ac:dyDescent="0.25">
      <c r="A42" s="423" t="str">
        <f>Estimation!H137</f>
        <v>No. Person-Trips</v>
      </c>
      <c r="B42" s="424"/>
      <c r="C42" s="208"/>
      <c r="D42" s="200">
        <f>Estimation!J138</f>
        <v>0</v>
      </c>
      <c r="E42" s="200">
        <f>Estimation!L138</f>
        <v>0</v>
      </c>
      <c r="F42" s="200">
        <f>Estimation!N138</f>
        <v>0</v>
      </c>
      <c r="G42" s="200">
        <f>Estimation!P138</f>
        <v>0</v>
      </c>
      <c r="H42" s="200">
        <f>Estimation!R138</f>
        <v>0</v>
      </c>
      <c r="I42" s="200">
        <f>Estimation!T138</f>
        <v>0</v>
      </c>
      <c r="J42" s="200">
        <f>Estimation!V138</f>
        <v>0</v>
      </c>
      <c r="K42" s="200">
        <f>Estimation!X138</f>
        <v>0</v>
      </c>
      <c r="L42" s="200">
        <f>Estimation!Z138</f>
        <v>0</v>
      </c>
      <c r="M42" s="200">
        <f>Estimation!AB138</f>
        <v>0</v>
      </c>
      <c r="N42" s="200">
        <f>Estimation!AD138</f>
        <v>0</v>
      </c>
      <c r="O42" s="361"/>
    </row>
    <row r="43" spans="1:16" outlineLevel="1" x14ac:dyDescent="0.25">
      <c r="A43" s="200" t="str">
        <f>Estimation!D139</f>
        <v>Airfare</v>
      </c>
      <c r="B43" s="209">
        <f>Estimation!E139</f>
        <v>0</v>
      </c>
      <c r="C43" s="208"/>
      <c r="D43" s="209">
        <f>Estimation!J139</f>
        <v>0</v>
      </c>
      <c r="E43" s="209">
        <f>Estimation!L139</f>
        <v>0</v>
      </c>
      <c r="F43" s="209">
        <f>Estimation!N139</f>
        <v>0</v>
      </c>
      <c r="G43" s="209">
        <f>Estimation!P139</f>
        <v>0</v>
      </c>
      <c r="H43" s="209">
        <f>Estimation!R139</f>
        <v>0</v>
      </c>
      <c r="I43" s="209">
        <f>Estimation!T139</f>
        <v>0</v>
      </c>
      <c r="J43" s="209">
        <f>Estimation!V139</f>
        <v>0</v>
      </c>
      <c r="K43" s="209">
        <f>Estimation!X139</f>
        <v>0</v>
      </c>
      <c r="L43" s="209">
        <f>Estimation!Z139</f>
        <v>0</v>
      </c>
      <c r="M43" s="209">
        <f>Estimation!AB139</f>
        <v>0</v>
      </c>
      <c r="N43" s="209">
        <f>Estimation!AD139</f>
        <v>0</v>
      </c>
      <c r="O43" s="361"/>
    </row>
    <row r="44" spans="1:16" outlineLevel="1" x14ac:dyDescent="0.25">
      <c r="A44" s="200" t="str">
        <f>Estimation!D140</f>
        <v>Lodging</v>
      </c>
      <c r="B44" s="209">
        <f>Estimation!E140</f>
        <v>0</v>
      </c>
      <c r="C44" s="208">
        <f>Estimation!F140</f>
        <v>0</v>
      </c>
      <c r="D44" s="209">
        <f>Estimation!J140</f>
        <v>0</v>
      </c>
      <c r="E44" s="209">
        <f>Estimation!L140</f>
        <v>0</v>
      </c>
      <c r="F44" s="209">
        <f>Estimation!N140</f>
        <v>0</v>
      </c>
      <c r="G44" s="209">
        <f>Estimation!P140</f>
        <v>0</v>
      </c>
      <c r="H44" s="209">
        <f>Estimation!R140</f>
        <v>0</v>
      </c>
      <c r="I44" s="209">
        <f>Estimation!T140</f>
        <v>0</v>
      </c>
      <c r="J44" s="209">
        <f>Estimation!V140</f>
        <v>0</v>
      </c>
      <c r="K44" s="209">
        <f>Estimation!X140</f>
        <v>0</v>
      </c>
      <c r="L44" s="209">
        <f>Estimation!Z140</f>
        <v>0</v>
      </c>
      <c r="M44" s="209">
        <f>Estimation!AB140</f>
        <v>0</v>
      </c>
      <c r="N44" s="209">
        <f>Estimation!AD140</f>
        <v>0</v>
      </c>
      <c r="O44" s="361"/>
    </row>
    <row r="45" spans="1:16" outlineLevel="1" x14ac:dyDescent="0.25">
      <c r="A45" s="200" t="str">
        <f>Estimation!D141</f>
        <v>Per Diem</v>
      </c>
      <c r="B45" s="209">
        <f>Estimation!E141</f>
        <v>0</v>
      </c>
      <c r="C45" s="208">
        <f>Estimation!F141</f>
        <v>0</v>
      </c>
      <c r="D45" s="209">
        <f>Estimation!J141</f>
        <v>0</v>
      </c>
      <c r="E45" s="209">
        <f>Estimation!L141</f>
        <v>0</v>
      </c>
      <c r="F45" s="209">
        <f>Estimation!N141</f>
        <v>0</v>
      </c>
      <c r="G45" s="209">
        <f>Estimation!P141</f>
        <v>0</v>
      </c>
      <c r="H45" s="209">
        <f>Estimation!R141</f>
        <v>0</v>
      </c>
      <c r="I45" s="209">
        <f>Estimation!T141</f>
        <v>0</v>
      </c>
      <c r="J45" s="209">
        <f>Estimation!V141</f>
        <v>0</v>
      </c>
      <c r="K45" s="209">
        <f>Estimation!X141</f>
        <v>0</v>
      </c>
      <c r="L45" s="209">
        <f>Estimation!Z141</f>
        <v>0</v>
      </c>
      <c r="M45" s="209">
        <f>Estimation!AB141</f>
        <v>0</v>
      </c>
      <c r="N45" s="209">
        <f>Estimation!AD141</f>
        <v>0</v>
      </c>
      <c r="O45" s="361"/>
    </row>
    <row r="46" spans="1:16" ht="30" outlineLevel="1" x14ac:dyDescent="0.25">
      <c r="A46" s="203" t="str">
        <f>Estimation!D142</f>
        <v>Ground Transportation</v>
      </c>
      <c r="B46" s="209">
        <f>Estimation!E142</f>
        <v>40</v>
      </c>
      <c r="C46" s="208">
        <f>Estimation!F142</f>
        <v>0</v>
      </c>
      <c r="D46" s="209">
        <f>Estimation!J142</f>
        <v>0</v>
      </c>
      <c r="E46" s="209">
        <f>Estimation!L142</f>
        <v>0</v>
      </c>
      <c r="F46" s="209">
        <f>Estimation!N142</f>
        <v>0</v>
      </c>
      <c r="G46" s="209">
        <f>Estimation!P142</f>
        <v>0</v>
      </c>
      <c r="H46" s="209">
        <f>Estimation!R142</f>
        <v>0</v>
      </c>
      <c r="I46" s="209">
        <f>Estimation!T142</f>
        <v>0</v>
      </c>
      <c r="J46" s="209">
        <f>Estimation!V142</f>
        <v>0</v>
      </c>
      <c r="K46" s="209">
        <f>Estimation!X142</f>
        <v>0</v>
      </c>
      <c r="L46" s="209">
        <f>Estimation!Z142</f>
        <v>0</v>
      </c>
      <c r="M46" s="209">
        <f>Estimation!AB142</f>
        <v>0</v>
      </c>
      <c r="N46" s="209">
        <f>Estimation!AD142</f>
        <v>0</v>
      </c>
      <c r="O46" s="361"/>
    </row>
    <row r="47" spans="1:16" outlineLevel="1" x14ac:dyDescent="0.25">
      <c r="A47" s="427" t="str">
        <f>Estimation!C144</f>
        <v>Description</v>
      </c>
      <c r="B47" s="427"/>
      <c r="C47" s="427"/>
      <c r="D47" s="427"/>
      <c r="E47" s="427"/>
      <c r="F47" s="427"/>
      <c r="G47" s="427"/>
      <c r="H47" s="427"/>
      <c r="I47" s="427"/>
      <c r="J47" s="427"/>
      <c r="K47" s="427"/>
      <c r="L47" s="427"/>
      <c r="M47" s="427"/>
      <c r="N47" s="427"/>
      <c r="O47" s="361"/>
    </row>
    <row r="48" spans="1:16" outlineLevel="1" x14ac:dyDescent="0.25">
      <c r="A48" s="423" t="str">
        <f>Estimation!H143</f>
        <v>No. Person-Trips</v>
      </c>
      <c r="B48" s="424"/>
      <c r="C48" s="208"/>
      <c r="D48" s="200">
        <f>Estimation!J144</f>
        <v>0</v>
      </c>
      <c r="E48" s="200">
        <f>Estimation!L144</f>
        <v>0</v>
      </c>
      <c r="F48" s="200">
        <f>Estimation!N144</f>
        <v>0</v>
      </c>
      <c r="G48" s="200">
        <f>Estimation!P144</f>
        <v>0</v>
      </c>
      <c r="H48" s="200">
        <f>Estimation!R144</f>
        <v>0</v>
      </c>
      <c r="I48" s="200">
        <f>Estimation!T144</f>
        <v>0</v>
      </c>
      <c r="J48" s="200">
        <f>Estimation!V144</f>
        <v>0</v>
      </c>
      <c r="K48" s="200">
        <f>Estimation!X144</f>
        <v>0</v>
      </c>
      <c r="L48" s="200">
        <f>Estimation!Z144</f>
        <v>0</v>
      </c>
      <c r="M48" s="200">
        <f>Estimation!AB144</f>
        <v>0</v>
      </c>
      <c r="N48" s="200">
        <f>Estimation!AD144</f>
        <v>0</v>
      </c>
      <c r="O48" s="361"/>
    </row>
    <row r="49" spans="1:15" outlineLevel="1" x14ac:dyDescent="0.25">
      <c r="A49" s="200" t="str">
        <f>Estimation!D145</f>
        <v>Airfare</v>
      </c>
      <c r="B49" s="209">
        <f>Estimation!E145</f>
        <v>0</v>
      </c>
      <c r="C49" s="208"/>
      <c r="D49" s="212">
        <f>Estimation!J145</f>
        <v>0</v>
      </c>
      <c r="E49" s="212">
        <f>Estimation!L145</f>
        <v>0</v>
      </c>
      <c r="F49" s="212">
        <f>Estimation!N145</f>
        <v>0</v>
      </c>
      <c r="G49" s="212">
        <f>Estimation!P145</f>
        <v>0</v>
      </c>
      <c r="H49" s="212">
        <f>Estimation!R145</f>
        <v>0</v>
      </c>
      <c r="I49" s="209">
        <f>Estimation!T145</f>
        <v>0</v>
      </c>
      <c r="J49" s="209">
        <f>Estimation!V145</f>
        <v>0</v>
      </c>
      <c r="K49" s="209">
        <f>Estimation!X145</f>
        <v>0</v>
      </c>
      <c r="L49" s="209">
        <f>Estimation!Z145</f>
        <v>0</v>
      </c>
      <c r="M49" s="209">
        <f>Estimation!AB145</f>
        <v>0</v>
      </c>
      <c r="N49" s="212">
        <f>Estimation!AD145</f>
        <v>0</v>
      </c>
      <c r="O49" s="361"/>
    </row>
    <row r="50" spans="1:15" outlineLevel="1" x14ac:dyDescent="0.25">
      <c r="A50" s="200" t="str">
        <f>Estimation!D146</f>
        <v>Lodging</v>
      </c>
      <c r="B50" s="209">
        <f>Estimation!E146</f>
        <v>0</v>
      </c>
      <c r="C50" s="208">
        <f>Estimation!F146</f>
        <v>0</v>
      </c>
      <c r="D50" s="212">
        <f>Estimation!J146</f>
        <v>0</v>
      </c>
      <c r="E50" s="212">
        <f>Estimation!L146</f>
        <v>0</v>
      </c>
      <c r="F50" s="212">
        <f>Estimation!N146</f>
        <v>0</v>
      </c>
      <c r="G50" s="212">
        <f>Estimation!P146</f>
        <v>0</v>
      </c>
      <c r="H50" s="212">
        <f>Estimation!R146</f>
        <v>0</v>
      </c>
      <c r="I50" s="209">
        <f>Estimation!T146</f>
        <v>0</v>
      </c>
      <c r="J50" s="209">
        <f>Estimation!V146</f>
        <v>0</v>
      </c>
      <c r="K50" s="209">
        <f>Estimation!X146</f>
        <v>0</v>
      </c>
      <c r="L50" s="209">
        <f>Estimation!Z146</f>
        <v>0</v>
      </c>
      <c r="M50" s="209">
        <f>Estimation!AB146</f>
        <v>0</v>
      </c>
      <c r="N50" s="212">
        <f>Estimation!AD146</f>
        <v>0</v>
      </c>
      <c r="O50" s="361"/>
    </row>
    <row r="51" spans="1:15" outlineLevel="1" x14ac:dyDescent="0.25">
      <c r="A51" s="200" t="str">
        <f>Estimation!D147</f>
        <v>Per Diem</v>
      </c>
      <c r="B51" s="209">
        <f>Estimation!E147</f>
        <v>0</v>
      </c>
      <c r="C51" s="208">
        <f>Estimation!F147</f>
        <v>0</v>
      </c>
      <c r="D51" s="212">
        <f>Estimation!J147</f>
        <v>0</v>
      </c>
      <c r="E51" s="212">
        <f>Estimation!L147</f>
        <v>0</v>
      </c>
      <c r="F51" s="212">
        <f>Estimation!N147</f>
        <v>0</v>
      </c>
      <c r="G51" s="212">
        <f>Estimation!P147</f>
        <v>0</v>
      </c>
      <c r="H51" s="212">
        <f>Estimation!R147</f>
        <v>0</v>
      </c>
      <c r="I51" s="209">
        <f>Estimation!T147</f>
        <v>0</v>
      </c>
      <c r="J51" s="209">
        <f>Estimation!V147</f>
        <v>0</v>
      </c>
      <c r="K51" s="209">
        <f>Estimation!X147</f>
        <v>0</v>
      </c>
      <c r="L51" s="209">
        <f>Estimation!Z147</f>
        <v>0</v>
      </c>
      <c r="M51" s="209">
        <f>Estimation!AB147</f>
        <v>0</v>
      </c>
      <c r="N51" s="212">
        <f>Estimation!AD147</f>
        <v>0</v>
      </c>
      <c r="O51" s="361"/>
    </row>
    <row r="52" spans="1:15" ht="30" outlineLevel="1" x14ac:dyDescent="0.25">
      <c r="A52" s="203" t="str">
        <f>Estimation!D148</f>
        <v>Ground Transportation</v>
      </c>
      <c r="B52" s="209">
        <f>Estimation!E148</f>
        <v>40</v>
      </c>
      <c r="C52" s="208">
        <f>Estimation!F148</f>
        <v>0</v>
      </c>
      <c r="D52" s="212">
        <f>Estimation!J148</f>
        <v>0</v>
      </c>
      <c r="E52" s="212">
        <f>Estimation!L148</f>
        <v>0</v>
      </c>
      <c r="F52" s="212">
        <f>Estimation!N148</f>
        <v>0</v>
      </c>
      <c r="G52" s="212">
        <f>Estimation!P148</f>
        <v>0</v>
      </c>
      <c r="H52" s="212">
        <f>Estimation!R148</f>
        <v>0</v>
      </c>
      <c r="I52" s="209">
        <f>Estimation!T148</f>
        <v>0</v>
      </c>
      <c r="J52" s="209">
        <f>Estimation!V148</f>
        <v>0</v>
      </c>
      <c r="K52" s="209">
        <f>Estimation!X148</f>
        <v>0</v>
      </c>
      <c r="L52" s="209">
        <f>Estimation!Z148</f>
        <v>0</v>
      </c>
      <c r="M52" s="209">
        <f>Estimation!AB148</f>
        <v>0</v>
      </c>
      <c r="N52" s="212">
        <f>Estimation!AD148</f>
        <v>0</v>
      </c>
      <c r="O52" s="361"/>
    </row>
    <row r="53" spans="1:15" ht="15.75" customHeight="1" outlineLevel="1" x14ac:dyDescent="0.25">
      <c r="A53" s="204"/>
      <c r="B53" s="205"/>
      <c r="C53" s="205"/>
      <c r="D53" s="205"/>
      <c r="E53" s="205"/>
      <c r="F53" s="205"/>
      <c r="G53" s="205"/>
      <c r="H53" s="205"/>
      <c r="I53" s="205"/>
      <c r="J53" s="205"/>
      <c r="K53" s="205"/>
      <c r="L53" s="205"/>
      <c r="M53" s="205"/>
      <c r="N53" s="206"/>
      <c r="O53" s="361"/>
    </row>
    <row r="54" spans="1:15" outlineLevel="1" x14ac:dyDescent="0.25">
      <c r="A54" s="428" t="s">
        <v>393</v>
      </c>
      <c r="B54" s="429"/>
      <c r="C54" s="429"/>
      <c r="D54" s="211">
        <f>Estimation!J149</f>
        <v>0</v>
      </c>
      <c r="E54" s="211">
        <f>Estimation!L149</f>
        <v>0</v>
      </c>
      <c r="F54" s="211">
        <f>Estimation!N149</f>
        <v>0</v>
      </c>
      <c r="G54" s="211">
        <f>Estimation!P149</f>
        <v>0</v>
      </c>
      <c r="H54" s="211">
        <f>Estimation!R149</f>
        <v>0</v>
      </c>
      <c r="I54" s="211">
        <f>Estimation!T149</f>
        <v>0</v>
      </c>
      <c r="J54" s="211">
        <f>Estimation!V149</f>
        <v>0</v>
      </c>
      <c r="K54" s="211">
        <f>Estimation!X149</f>
        <v>0</v>
      </c>
      <c r="L54" s="211">
        <f>Estimation!Z149</f>
        <v>0</v>
      </c>
      <c r="M54" s="211">
        <f>Estimation!AB149</f>
        <v>0</v>
      </c>
      <c r="N54" s="211">
        <f>Estimation!AD149</f>
        <v>0</v>
      </c>
      <c r="O54" s="361"/>
    </row>
    <row r="55" spans="1:15" ht="15.75" customHeight="1" outlineLevel="1" x14ac:dyDescent="0.25">
      <c r="A55" s="204"/>
      <c r="B55" s="205"/>
      <c r="C55" s="205"/>
      <c r="D55" s="205"/>
      <c r="E55" s="205"/>
      <c r="F55" s="205"/>
      <c r="G55" s="205"/>
      <c r="H55" s="205"/>
      <c r="I55" s="205"/>
      <c r="J55" s="205"/>
      <c r="K55" s="205"/>
      <c r="L55" s="205"/>
      <c r="M55" s="205"/>
      <c r="N55" s="206"/>
      <c r="O55" s="361"/>
    </row>
    <row r="56" spans="1:15" x14ac:dyDescent="0.25">
      <c r="A56" s="429" t="str">
        <f>Estimation!C151</f>
        <v>Total Travel</v>
      </c>
      <c r="B56" s="429"/>
      <c r="C56" s="429"/>
      <c r="D56" s="211">
        <f>Estimation!J151</f>
        <v>0</v>
      </c>
      <c r="E56" s="211">
        <f>Estimation!L151</f>
        <v>0</v>
      </c>
      <c r="F56" s="211">
        <f>Estimation!N151</f>
        <v>0</v>
      </c>
      <c r="G56" s="211">
        <f>Estimation!P151</f>
        <v>0</v>
      </c>
      <c r="H56" s="211">
        <f>Estimation!R151</f>
        <v>0</v>
      </c>
      <c r="I56" s="211">
        <f>Estimation!T151</f>
        <v>0</v>
      </c>
      <c r="J56" s="211">
        <f>Estimation!V151</f>
        <v>0</v>
      </c>
      <c r="K56" s="211">
        <f>Estimation!X151</f>
        <v>0</v>
      </c>
      <c r="L56" s="211">
        <f>Estimation!Z151</f>
        <v>0</v>
      </c>
      <c r="M56" s="211">
        <f>Estimation!AB151</f>
        <v>0</v>
      </c>
      <c r="N56" s="211">
        <f>Estimation!AD151</f>
        <v>0</v>
      </c>
      <c r="O56" s="361"/>
    </row>
    <row r="57" spans="1:15" x14ac:dyDescent="0.25">
      <c r="B57" s="207"/>
      <c r="D57" s="207"/>
      <c r="E57" s="207"/>
      <c r="F57" s="207"/>
      <c r="G57" s="207"/>
      <c r="H57" s="207"/>
      <c r="I57" s="207"/>
      <c r="J57" s="207"/>
      <c r="K57" s="207"/>
      <c r="L57" s="207"/>
      <c r="M57" s="207"/>
      <c r="N57" s="207"/>
    </row>
    <row r="58" spans="1:15" x14ac:dyDescent="0.25">
      <c r="B58" s="207"/>
      <c r="D58" s="207"/>
      <c r="E58" s="207"/>
      <c r="F58" s="207"/>
      <c r="G58" s="207"/>
      <c r="H58" s="207"/>
      <c r="I58" s="207"/>
      <c r="J58" s="207"/>
      <c r="K58" s="207"/>
      <c r="L58" s="207"/>
      <c r="M58" s="207"/>
      <c r="N58" s="207"/>
    </row>
  </sheetData>
  <mergeCells count="25">
    <mergeCell ref="A54:C54"/>
    <mergeCell ref="A56:C56"/>
    <mergeCell ref="A32:C32"/>
    <mergeCell ref="A35:N35"/>
    <mergeCell ref="A41:N41"/>
    <mergeCell ref="A47:N47"/>
    <mergeCell ref="A36:B36"/>
    <mergeCell ref="A42:B42"/>
    <mergeCell ref="A48:B48"/>
    <mergeCell ref="P34:P35"/>
    <mergeCell ref="P37:P38"/>
    <mergeCell ref="A4:B4"/>
    <mergeCell ref="A10:B10"/>
    <mergeCell ref="A16:B16"/>
    <mergeCell ref="P3:P6"/>
    <mergeCell ref="P8:P9"/>
    <mergeCell ref="P12:P13"/>
    <mergeCell ref="P18:P23"/>
    <mergeCell ref="A27:N27"/>
    <mergeCell ref="A3:N3"/>
    <mergeCell ref="A9:N9"/>
    <mergeCell ref="A15:N15"/>
    <mergeCell ref="A21:N21"/>
    <mergeCell ref="A22:B22"/>
    <mergeCell ref="A29:B29"/>
  </mergeCells>
  <pageMargins left="0.7" right="0.7" top="0.75" bottom="0.75" header="0.3" footer="0.3"/>
  <pageSetup orientation="portrait" horizontalDpi="4294967293" verticalDpi="1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Z240"/>
  <sheetViews>
    <sheetView zoomScaleNormal="100" workbookViewId="0">
      <selection activeCell="B93" sqref="B93:B94"/>
    </sheetView>
  </sheetViews>
  <sheetFormatPr defaultColWidth="9" defaultRowHeight="15" outlineLevelRow="1" outlineLevelCol="1" x14ac:dyDescent="0.25"/>
  <cols>
    <col min="1" max="1" width="2.75" style="13" customWidth="1"/>
    <col min="2" max="2" width="4.625" style="13" customWidth="1"/>
    <col min="3" max="3" width="18.625" style="13" customWidth="1"/>
    <col min="4" max="4" width="7.75" style="13" customWidth="1"/>
    <col min="5" max="5" width="1.75" style="15" customWidth="1"/>
    <col min="6" max="6" width="11.375" style="13" customWidth="1"/>
    <col min="7" max="7" width="1.75" style="13" customWidth="1"/>
    <col min="8" max="8" width="11.375" style="13" customWidth="1"/>
    <col min="9" max="9" width="1.75" style="13" customWidth="1"/>
    <col min="10" max="10" width="11.375" style="13" customWidth="1"/>
    <col min="11" max="11" width="1.75" style="13" customWidth="1"/>
    <col min="12" max="12" width="11.375" style="13" customWidth="1"/>
    <col min="13" max="13" width="1.75" style="13" customWidth="1"/>
    <col min="14" max="14" width="11.375" style="13" customWidth="1"/>
    <col min="15" max="15" width="1.5" style="13" customWidth="1"/>
    <col min="16" max="16" width="11.375" style="13" hidden="1" customWidth="1" outlineLevel="1"/>
    <col min="17" max="17" width="1.5" style="13" hidden="1" customWidth="1" outlineLevel="1"/>
    <col min="18" max="18" width="11.375" style="13" hidden="1" customWidth="1" outlineLevel="1"/>
    <col min="19" max="19" width="1.5" style="13" hidden="1" customWidth="1" outlineLevel="1"/>
    <col min="20" max="20" width="11.375" style="13" hidden="1" customWidth="1" outlineLevel="1"/>
    <col min="21" max="21" width="1.5" style="13" hidden="1" customWidth="1" outlineLevel="1"/>
    <col min="22" max="22" width="11.375" style="13" hidden="1" customWidth="1" outlineLevel="1"/>
    <col min="23" max="23" width="1.5" style="13" hidden="1" customWidth="1" outlineLevel="1"/>
    <col min="24" max="24" width="11.375" style="13" hidden="1" customWidth="1" outlineLevel="1"/>
    <col min="25" max="25" width="1.5" style="13" hidden="1" customWidth="1" outlineLevel="1"/>
    <col min="26" max="26" width="11.375" style="13" customWidth="1" collapsed="1"/>
    <col min="27" max="27" width="1.75" style="13" customWidth="1"/>
    <col min="28" max="28" width="3.25" style="13" customWidth="1"/>
    <col min="29" max="29" width="10.875" style="13" customWidth="1"/>
    <col min="30" max="30" width="9" style="13"/>
    <col min="31" max="31" width="1.75" style="13" customWidth="1"/>
    <col min="32" max="32" width="9" style="13" customWidth="1"/>
    <col min="33" max="33" width="2.125" style="13" customWidth="1"/>
    <col min="34" max="34" width="9" style="13"/>
    <col min="35" max="35" width="2" style="13" customWidth="1"/>
    <col min="36" max="36" width="9" style="13"/>
    <col min="37" max="37" width="2.125" style="13" customWidth="1"/>
    <col min="38" max="38" width="9" style="13"/>
    <col min="39" max="39" width="1.75" style="13" customWidth="1"/>
    <col min="40" max="40" width="9" style="13" customWidth="1" outlineLevel="1"/>
    <col min="41" max="41" width="1.75" style="13" customWidth="1" outlineLevel="1"/>
    <col min="42" max="42" width="9" style="13" customWidth="1" outlineLevel="1"/>
    <col min="43" max="43" width="1.75" style="13" customWidth="1" outlineLevel="1"/>
    <col min="44" max="44" width="9" style="13" customWidth="1" outlineLevel="1"/>
    <col min="45" max="45" width="1.75" style="13" customWidth="1" outlineLevel="1"/>
    <col min="46" max="46" width="9" style="13" customWidth="1" outlineLevel="1"/>
    <col min="47" max="47" width="1.75" style="13" customWidth="1" outlineLevel="1"/>
    <col min="48" max="48" width="9" style="13" customWidth="1" outlineLevel="1"/>
    <col min="49" max="49" width="1.75" style="13" customWidth="1" outlineLevel="1"/>
    <col min="50" max="50" width="9" style="13" customWidth="1" outlineLevel="1"/>
    <col min="51" max="51" width="2" style="13" customWidth="1" outlineLevel="1"/>
    <col min="52" max="52" width="10.625" style="13" customWidth="1"/>
    <col min="53" max="16384" width="9" style="13"/>
  </cols>
  <sheetData>
    <row r="1" spans="1:52" ht="43.9" customHeight="1" x14ac:dyDescent="0.25"/>
    <row r="2" spans="1:52" ht="14.65" customHeight="1" x14ac:dyDescent="0.25"/>
    <row r="3" spans="1:52" ht="19.5" x14ac:dyDescent="0.25">
      <c r="A3" s="434" t="s">
        <v>240</v>
      </c>
      <c r="B3" s="434"/>
      <c r="C3" s="434"/>
      <c r="D3" s="434"/>
      <c r="E3" s="434"/>
      <c r="F3" s="434"/>
      <c r="G3" s="434"/>
      <c r="H3" s="434"/>
      <c r="I3" s="434"/>
      <c r="J3" s="434"/>
      <c r="K3" s="434"/>
      <c r="L3" s="434"/>
      <c r="M3" s="434"/>
      <c r="N3" s="434"/>
      <c r="O3" s="434"/>
      <c r="P3" s="434"/>
      <c r="Q3" s="434"/>
      <c r="R3" s="434"/>
      <c r="S3" s="434"/>
      <c r="T3" s="434"/>
      <c r="U3" s="434"/>
      <c r="V3" s="434"/>
      <c r="W3" s="434"/>
      <c r="X3" s="434"/>
      <c r="Y3" s="434"/>
      <c r="Z3" s="434"/>
      <c r="AA3" s="434"/>
      <c r="AB3" s="6"/>
      <c r="AC3"/>
      <c r="AD3"/>
      <c r="AE3"/>
      <c r="AF3"/>
      <c r="AG3"/>
      <c r="AH3"/>
      <c r="AI3"/>
      <c r="AJ3"/>
      <c r="AK3"/>
    </row>
    <row r="4" spans="1:52" ht="15.75" x14ac:dyDescent="0.25">
      <c r="B4" s="73"/>
      <c r="C4" s="73"/>
      <c r="D4" s="3"/>
      <c r="E4" s="4"/>
      <c r="F4" s="4"/>
      <c r="G4" s="4"/>
      <c r="H4" s="5"/>
      <c r="I4" s="5"/>
      <c r="J4" s="16"/>
      <c r="K4" s="6"/>
      <c r="L4" s="6"/>
      <c r="M4" s="6"/>
      <c r="N4" s="6"/>
      <c r="O4" s="6"/>
      <c r="P4" s="6"/>
      <c r="Q4" s="6"/>
      <c r="R4" s="6"/>
      <c r="S4" s="6"/>
      <c r="T4" s="6"/>
      <c r="U4" s="6"/>
      <c r="V4" s="6"/>
      <c r="W4" s="6"/>
      <c r="X4" s="6"/>
      <c r="Y4" s="6"/>
      <c r="Z4" s="6"/>
      <c r="AA4" s="4"/>
      <c r="AB4" s="6"/>
      <c r="AC4"/>
      <c r="AD4"/>
      <c r="AE4"/>
      <c r="AF4"/>
      <c r="AG4"/>
      <c r="AH4"/>
      <c r="AI4"/>
      <c r="AJ4"/>
      <c r="AK4"/>
    </row>
    <row r="5" spans="1:52" ht="15.75" x14ac:dyDescent="0.25">
      <c r="B5" s="10" t="s">
        <v>50</v>
      </c>
      <c r="C5" s="73"/>
      <c r="E5" s="431" t="str">
        <f>IF(Estimation!E12=0, "", Estimation!E12)</f>
        <v/>
      </c>
      <c r="F5" s="431"/>
      <c r="G5" s="431"/>
      <c r="H5" s="431"/>
      <c r="J5" s="10" t="s">
        <v>23</v>
      </c>
      <c r="K5" s="73"/>
      <c r="M5" s="431" t="str">
        <f>IF(Estimation!E1=0, "", Estimation!E1)</f>
        <v/>
      </c>
      <c r="N5" s="431"/>
      <c r="O5" s="431"/>
      <c r="P5" s="431"/>
      <c r="Q5" s="8"/>
      <c r="R5" s="8"/>
      <c r="S5" s="8"/>
      <c r="T5" s="8"/>
      <c r="U5" s="8"/>
      <c r="V5" s="8"/>
      <c r="W5" s="8"/>
      <c r="X5" s="8"/>
      <c r="Y5" s="8"/>
      <c r="Z5" s="8"/>
      <c r="AB5" s="74"/>
      <c r="AC5"/>
      <c r="AD5"/>
      <c r="AE5"/>
      <c r="AF5" s="10"/>
      <c r="AG5" s="73"/>
      <c r="AH5" s="73"/>
      <c r="AI5" s="73"/>
      <c r="AJ5" s="73"/>
      <c r="AK5"/>
    </row>
    <row r="6" spans="1:52" ht="15.75" x14ac:dyDescent="0.25">
      <c r="B6" s="10" t="s">
        <v>51</v>
      </c>
      <c r="C6" s="73"/>
      <c r="E6" s="431" t="str">
        <f>IF(Estimation!E13=0, "", Estimation!E13)</f>
        <v/>
      </c>
      <c r="F6" s="431"/>
      <c r="G6" s="431"/>
      <c r="H6" s="431"/>
      <c r="J6" s="10" t="s">
        <v>87</v>
      </c>
      <c r="K6" s="73"/>
      <c r="M6" s="431" t="str">
        <f>IF(Estimation!E2=0, "", Estimation!E2)</f>
        <v/>
      </c>
      <c r="N6" s="431"/>
      <c r="O6" s="431"/>
      <c r="P6" s="431"/>
      <c r="Q6" s="8"/>
      <c r="R6" s="8"/>
      <c r="S6" s="8"/>
      <c r="T6" s="8"/>
      <c r="U6" s="8"/>
      <c r="V6" s="8"/>
      <c r="W6" s="8"/>
      <c r="X6" s="8"/>
      <c r="Y6" s="8"/>
      <c r="Z6" s="8"/>
      <c r="AB6" s="74"/>
      <c r="AC6"/>
      <c r="AD6"/>
      <c r="AE6"/>
      <c r="AF6" s="10"/>
      <c r="AG6" s="73"/>
      <c r="AH6" s="73"/>
      <c r="AI6" s="73"/>
      <c r="AJ6" s="73"/>
      <c r="AK6"/>
    </row>
    <row r="7" spans="1:52" ht="15.75" x14ac:dyDescent="0.25">
      <c r="B7" s="73"/>
      <c r="C7" s="73"/>
      <c r="E7" s="431" t="str">
        <f>IF(Estimation!E14=0, "", Estimation!E14)</f>
        <v/>
      </c>
      <c r="F7" s="431"/>
      <c r="G7" s="431"/>
      <c r="H7" s="431"/>
      <c r="I7" s="40"/>
      <c r="J7" s="73"/>
      <c r="K7" s="73"/>
      <c r="M7" s="8"/>
      <c r="N7" s="8"/>
      <c r="O7" s="8"/>
      <c r="P7" s="8"/>
      <c r="Q7" s="8"/>
      <c r="R7" s="8"/>
      <c r="S7" s="8"/>
      <c r="T7" s="8"/>
      <c r="U7" s="8"/>
      <c r="V7" s="8"/>
      <c r="W7" s="8"/>
      <c r="X7" s="8"/>
      <c r="Y7" s="8"/>
      <c r="Z7" s="8"/>
      <c r="AB7" s="74"/>
      <c r="AC7"/>
      <c r="AD7"/>
      <c r="AE7"/>
      <c r="AF7"/>
      <c r="AG7"/>
      <c r="AH7"/>
      <c r="AI7"/>
      <c r="AJ7"/>
      <c r="AK7"/>
    </row>
    <row r="8" spans="1:52" ht="15.75" x14ac:dyDescent="0.25">
      <c r="B8" s="73"/>
      <c r="C8" s="73"/>
      <c r="D8" s="73"/>
      <c r="E8" s="73"/>
      <c r="F8" s="73"/>
      <c r="G8" s="73"/>
      <c r="H8" s="7"/>
      <c r="I8" s="7"/>
      <c r="J8" s="74"/>
      <c r="K8" s="74"/>
      <c r="L8" s="74"/>
      <c r="M8" s="74"/>
      <c r="N8" s="74"/>
      <c r="O8" s="74"/>
      <c r="P8" s="74"/>
      <c r="Q8" s="74"/>
      <c r="R8" s="74"/>
      <c r="S8" s="74"/>
      <c r="T8" s="74"/>
      <c r="U8" s="74"/>
      <c r="V8" s="74"/>
      <c r="W8" s="74"/>
      <c r="X8" s="74"/>
      <c r="Y8" s="74"/>
      <c r="Z8" s="74"/>
      <c r="AB8" s="74"/>
      <c r="AC8"/>
      <c r="AD8"/>
      <c r="AE8"/>
      <c r="AF8"/>
      <c r="AG8"/>
      <c r="AH8"/>
      <c r="AI8"/>
      <c r="AJ8"/>
      <c r="AK8"/>
    </row>
    <row r="9" spans="1:52" ht="15.6" customHeight="1" x14ac:dyDescent="0.25">
      <c r="B9" s="10" t="s">
        <v>20</v>
      </c>
      <c r="C9" s="433" t="str">
        <f>IF(Estimation!D9=0, "", Estimation!D9)</f>
        <v/>
      </c>
      <c r="D9" s="433"/>
      <c r="E9" s="433"/>
      <c r="F9" s="433"/>
      <c r="G9" s="433"/>
      <c r="H9" s="433"/>
      <c r="J9" s="153" t="s">
        <v>242</v>
      </c>
      <c r="M9" s="430" t="str">
        <f>IF(Estimation!E3=0, "", Estimation!E3)</f>
        <v/>
      </c>
      <c r="N9" s="430"/>
      <c r="O9" s="430"/>
      <c r="P9" s="430"/>
      <c r="Q9" s="339"/>
      <c r="R9" s="339"/>
      <c r="S9" s="339"/>
      <c r="T9" s="339"/>
      <c r="U9" s="339"/>
      <c r="V9" s="339"/>
      <c r="W9" s="339"/>
      <c r="X9" s="339"/>
      <c r="Y9" s="339"/>
      <c r="Z9" s="339"/>
      <c r="AC9"/>
      <c r="AD9"/>
      <c r="AE9"/>
      <c r="AF9"/>
      <c r="AG9"/>
      <c r="AH9"/>
      <c r="AI9"/>
      <c r="AJ9"/>
      <c r="AK9"/>
    </row>
    <row r="10" spans="1:52" ht="15.75" x14ac:dyDescent="0.25">
      <c r="C10" s="433"/>
      <c r="D10" s="433"/>
      <c r="E10" s="433"/>
      <c r="F10" s="433"/>
      <c r="G10" s="433"/>
      <c r="H10" s="433"/>
      <c r="AC10"/>
      <c r="AD10"/>
      <c r="AE10"/>
      <c r="AF10"/>
      <c r="AG10"/>
      <c r="AH10"/>
      <c r="AI10"/>
      <c r="AJ10"/>
      <c r="AK10"/>
    </row>
    <row r="11" spans="1:52" ht="15.75" x14ac:dyDescent="0.25">
      <c r="B11" s="8"/>
      <c r="C11" s="433"/>
      <c r="D11" s="433"/>
      <c r="E11" s="433"/>
      <c r="F11" s="433"/>
      <c r="G11" s="433"/>
      <c r="H11" s="433"/>
      <c r="J11" s="166" t="s">
        <v>18</v>
      </c>
      <c r="M11" s="431" t="str">
        <f>IF(Estimation!E18=0, "", Estimation!E18)</f>
        <v/>
      </c>
      <c r="N11" s="431"/>
      <c r="O11" s="431"/>
      <c r="P11" s="431"/>
      <c r="Q11" s="8"/>
      <c r="R11" s="8"/>
      <c r="S11" s="8"/>
      <c r="T11" s="8"/>
      <c r="U11" s="8"/>
      <c r="V11" s="8"/>
      <c r="W11" s="8"/>
      <c r="X11" s="8"/>
      <c r="Y11" s="8"/>
      <c r="Z11" s="8"/>
      <c r="AC11"/>
      <c r="AD11"/>
      <c r="AE11"/>
      <c r="AF11"/>
      <c r="AG11"/>
      <c r="AH11"/>
      <c r="AI11"/>
      <c r="AJ11"/>
      <c r="AK11"/>
    </row>
    <row r="12" spans="1:52" ht="15.75" x14ac:dyDescent="0.25">
      <c r="B12" s="8"/>
      <c r="C12" s="433"/>
      <c r="D12" s="433"/>
      <c r="E12" s="433"/>
      <c r="F12" s="433"/>
      <c r="G12" s="433"/>
      <c r="H12" s="433"/>
      <c r="AC12"/>
      <c r="AD12"/>
      <c r="AE12"/>
      <c r="AF12"/>
      <c r="AG12"/>
      <c r="AH12"/>
      <c r="AI12"/>
      <c r="AJ12"/>
      <c r="AK12"/>
    </row>
    <row r="13" spans="1:52" ht="15.75" x14ac:dyDescent="0.25">
      <c r="B13" s="73"/>
      <c r="C13" s="73"/>
      <c r="D13" s="73"/>
      <c r="E13" s="73"/>
      <c r="F13" s="73"/>
      <c r="G13" s="73"/>
      <c r="H13" s="8"/>
      <c r="I13" s="25"/>
      <c r="J13" s="8"/>
      <c r="K13" s="25"/>
      <c r="L13" s="25"/>
      <c r="M13" s="25"/>
      <c r="N13" s="25"/>
      <c r="P13" s="25"/>
      <c r="R13" s="25"/>
      <c r="T13" s="25"/>
      <c r="V13" s="25"/>
      <c r="X13" s="25"/>
      <c r="AC13"/>
      <c r="AD13" s="432" t="s">
        <v>243</v>
      </c>
      <c r="AE13" s="432"/>
      <c r="AF13" s="432"/>
      <c r="AG13" s="432"/>
      <c r="AH13" s="432"/>
      <c r="AI13" s="432"/>
      <c r="AJ13" s="432"/>
      <c r="AK13" s="432"/>
      <c r="AL13" s="432"/>
      <c r="AM13" s="432"/>
      <c r="AN13" s="432"/>
      <c r="AO13" s="432"/>
      <c r="AP13" s="432"/>
      <c r="AQ13" s="432"/>
      <c r="AR13" s="432"/>
      <c r="AS13" s="432"/>
      <c r="AT13" s="432"/>
      <c r="AU13" s="432"/>
      <c r="AV13" s="432"/>
      <c r="AW13" s="432"/>
      <c r="AX13" s="432"/>
      <c r="AY13" s="432"/>
    </row>
    <row r="14" spans="1:52" x14ac:dyDescent="0.25">
      <c r="B14" s="34" t="s">
        <v>28</v>
      </c>
      <c r="C14" s="34"/>
      <c r="D14" s="34"/>
      <c r="E14" s="35"/>
      <c r="F14" s="36" t="s">
        <v>0</v>
      </c>
      <c r="G14" s="37"/>
      <c r="H14" s="36" t="s">
        <v>1</v>
      </c>
      <c r="I14" s="37"/>
      <c r="J14" s="36" t="s">
        <v>22</v>
      </c>
      <c r="K14" s="37"/>
      <c r="L14" s="36" t="s">
        <v>31</v>
      </c>
      <c r="M14" s="37"/>
      <c r="N14" s="36" t="s">
        <v>43</v>
      </c>
      <c r="O14" s="37"/>
      <c r="P14" s="36" t="s">
        <v>337</v>
      </c>
      <c r="Q14" s="37"/>
      <c r="R14" s="36" t="s">
        <v>338</v>
      </c>
      <c r="S14" s="37"/>
      <c r="T14" s="36" t="s">
        <v>339</v>
      </c>
      <c r="U14" s="37"/>
      <c r="V14" s="36" t="s">
        <v>340</v>
      </c>
      <c r="W14" s="37"/>
      <c r="X14" s="36" t="s">
        <v>341</v>
      </c>
      <c r="Y14" s="37"/>
      <c r="Z14" s="38" t="s">
        <v>24</v>
      </c>
      <c r="AA14" s="37"/>
      <c r="AB14" s="30"/>
      <c r="AD14" s="181" t="s">
        <v>0</v>
      </c>
      <c r="AE14" s="182"/>
      <c r="AF14" s="181" t="s">
        <v>1</v>
      </c>
      <c r="AG14" s="182"/>
      <c r="AH14" s="181" t="s">
        <v>22</v>
      </c>
      <c r="AI14" s="182"/>
      <c r="AJ14" s="181" t="s">
        <v>31</v>
      </c>
      <c r="AK14" s="182"/>
      <c r="AL14" s="181" t="s">
        <v>43</v>
      </c>
      <c r="AM14" s="182"/>
      <c r="AN14" s="181" t="s">
        <v>337</v>
      </c>
      <c r="AO14" s="182"/>
      <c r="AP14" s="181" t="s">
        <v>338</v>
      </c>
      <c r="AQ14" s="182"/>
      <c r="AR14" s="181" t="s">
        <v>339</v>
      </c>
      <c r="AS14" s="182"/>
      <c r="AT14" s="181" t="s">
        <v>340</v>
      </c>
      <c r="AU14" s="182"/>
      <c r="AV14" s="181" t="s">
        <v>341</v>
      </c>
      <c r="AW14" s="182"/>
      <c r="AX14" s="183" t="s">
        <v>24</v>
      </c>
      <c r="AY14" s="180"/>
      <c r="AZ14" s="186" t="s">
        <v>62</v>
      </c>
    </row>
    <row r="15" spans="1:52" x14ac:dyDescent="0.25">
      <c r="B15" s="10" t="s">
        <v>222</v>
      </c>
      <c r="C15" s="10"/>
      <c r="D15" s="10"/>
      <c r="E15" s="39"/>
      <c r="F15" s="40"/>
      <c r="G15" s="39"/>
      <c r="H15" s="40"/>
      <c r="I15" s="39"/>
      <c r="J15" s="40"/>
      <c r="K15" s="39"/>
      <c r="L15" s="40"/>
      <c r="M15" s="39"/>
      <c r="N15" s="40"/>
      <c r="O15" s="39"/>
      <c r="P15" s="40"/>
      <c r="Q15" s="39"/>
      <c r="R15" s="40"/>
      <c r="S15" s="39"/>
      <c r="T15" s="40"/>
      <c r="U15" s="39"/>
      <c r="V15" s="40"/>
      <c r="W15" s="39"/>
      <c r="X15" s="40"/>
      <c r="Y15" s="39"/>
      <c r="Z15" s="40"/>
      <c r="AA15" s="39"/>
      <c r="AB15" s="29"/>
      <c r="AD15" s="176"/>
      <c r="AE15" s="176"/>
      <c r="AF15" s="176"/>
      <c r="AG15" s="176"/>
      <c r="AH15" s="176"/>
      <c r="AI15" s="176"/>
      <c r="AJ15" s="176"/>
      <c r="AK15" s="176"/>
      <c r="AL15" s="176"/>
      <c r="AM15" s="176"/>
      <c r="AN15" s="176"/>
      <c r="AO15" s="176"/>
      <c r="AP15" s="176"/>
      <c r="AQ15" s="176"/>
      <c r="AR15" s="176"/>
      <c r="AS15" s="176"/>
      <c r="AT15" s="176"/>
      <c r="AU15" s="176"/>
      <c r="AV15" s="176"/>
      <c r="AW15" s="176"/>
      <c r="AX15" s="176"/>
    </row>
    <row r="16" spans="1:52" x14ac:dyDescent="0.25">
      <c r="C16" s="41" t="s">
        <v>226</v>
      </c>
      <c r="E16" s="39"/>
      <c r="F16" s="40">
        <f>SUM(F17:F25)</f>
        <v>0</v>
      </c>
      <c r="G16" s="39"/>
      <c r="H16" s="40">
        <f>SUM(H17:H25)</f>
        <v>0</v>
      </c>
      <c r="I16" s="39"/>
      <c r="J16" s="40">
        <f>SUM(J17:J25)</f>
        <v>0</v>
      </c>
      <c r="K16" s="39"/>
      <c r="L16" s="40">
        <f>SUM(L17:L25)</f>
        <v>0</v>
      </c>
      <c r="M16" s="39"/>
      <c r="N16" s="40">
        <f>SUM(N17:N25)</f>
        <v>0</v>
      </c>
      <c r="O16" s="39"/>
      <c r="P16" s="40">
        <f>SUM(P17:P25)</f>
        <v>0</v>
      </c>
      <c r="Q16" s="39"/>
      <c r="R16" s="40">
        <f>SUM(R17:R25)</f>
        <v>0</v>
      </c>
      <c r="S16" s="39"/>
      <c r="T16" s="40">
        <f>SUM(T17:T25)</f>
        <v>0</v>
      </c>
      <c r="U16" s="39"/>
      <c r="V16" s="40">
        <f>SUM(V17:V25)</f>
        <v>0</v>
      </c>
      <c r="W16" s="39"/>
      <c r="X16" s="40">
        <f>SUM(X17:X25)</f>
        <v>0</v>
      </c>
      <c r="Y16" s="39"/>
      <c r="Z16" s="40">
        <f>F16+H16+J16+L16+N16+P16+R16+T16+V16+X16</f>
        <v>0</v>
      </c>
      <c r="AA16" s="39"/>
      <c r="AB16" s="29"/>
      <c r="AD16" s="176"/>
      <c r="AE16" s="176"/>
      <c r="AF16" s="176"/>
      <c r="AG16" s="176"/>
      <c r="AH16" s="176"/>
      <c r="AI16" s="176"/>
      <c r="AJ16" s="176"/>
      <c r="AK16" s="176"/>
      <c r="AL16" s="176"/>
      <c r="AM16" s="176"/>
      <c r="AN16" s="176"/>
      <c r="AO16" s="176"/>
      <c r="AP16" s="176"/>
      <c r="AQ16" s="176"/>
      <c r="AR16" s="176"/>
      <c r="AS16" s="176"/>
      <c r="AT16" s="176"/>
      <c r="AU16" s="176"/>
      <c r="AV16" s="176"/>
      <c r="AW16" s="176"/>
      <c r="AX16" s="176"/>
    </row>
    <row r="17" spans="3:52" outlineLevel="1" x14ac:dyDescent="0.25">
      <c r="C17" s="148" t="str">
        <f>Estimation!C21</f>
        <v xml:space="preserve">PI: </v>
      </c>
      <c r="E17" s="39"/>
      <c r="F17" s="40">
        <f>Estimation!J22</f>
        <v>0</v>
      </c>
      <c r="G17" s="39"/>
      <c r="H17" s="40">
        <f>Estimation!L22</f>
        <v>0</v>
      </c>
      <c r="I17" s="39"/>
      <c r="J17" s="40">
        <f>Estimation!N22</f>
        <v>0</v>
      </c>
      <c r="K17" s="39"/>
      <c r="L17" s="40">
        <f>Estimation!P22</f>
        <v>0</v>
      </c>
      <c r="M17" s="39"/>
      <c r="N17" s="40">
        <f>Estimation!R22</f>
        <v>0</v>
      </c>
      <c r="O17" s="39"/>
      <c r="P17" s="40">
        <f>Estimation!T22</f>
        <v>0</v>
      </c>
      <c r="Q17" s="39"/>
      <c r="R17" s="40">
        <f>Estimation!V22</f>
        <v>0</v>
      </c>
      <c r="S17" s="39"/>
      <c r="T17" s="40">
        <f>Estimation!X22</f>
        <v>0</v>
      </c>
      <c r="U17" s="39"/>
      <c r="V17" s="40">
        <f>Estimation!Z22</f>
        <v>0</v>
      </c>
      <c r="W17" s="39"/>
      <c r="X17" s="40">
        <f>Estimation!AB22</f>
        <v>0</v>
      </c>
      <c r="Y17" s="39"/>
      <c r="Z17" s="40">
        <f>F17+H17+J17+L17+N17+P17+R17+T17+V17+X17</f>
        <v>0</v>
      </c>
      <c r="AA17" s="39"/>
      <c r="AB17" s="29"/>
      <c r="AD17" s="176"/>
      <c r="AE17" s="176"/>
      <c r="AF17" s="176"/>
      <c r="AG17" s="176"/>
      <c r="AH17" s="176"/>
      <c r="AI17" s="176"/>
      <c r="AJ17" s="176"/>
      <c r="AK17" s="176"/>
      <c r="AL17" s="176"/>
      <c r="AM17" s="176"/>
      <c r="AN17" s="176"/>
      <c r="AO17" s="176"/>
      <c r="AP17" s="176"/>
      <c r="AQ17" s="176"/>
      <c r="AR17" s="176"/>
      <c r="AS17" s="176"/>
      <c r="AT17" s="176"/>
      <c r="AU17" s="176"/>
      <c r="AV17" s="176"/>
      <c r="AW17" s="176"/>
      <c r="AX17" s="176"/>
    </row>
    <row r="18" spans="3:52" outlineLevel="1" x14ac:dyDescent="0.25">
      <c r="C18" s="165" t="str">
        <f>Estimation!D22</f>
        <v>0% time, 0 months, Summer</v>
      </c>
      <c r="E18" s="39"/>
      <c r="F18" s="40"/>
      <c r="G18" s="39"/>
      <c r="H18" s="40"/>
      <c r="I18" s="39"/>
      <c r="J18" s="40"/>
      <c r="K18" s="39"/>
      <c r="L18" s="40"/>
      <c r="M18" s="39"/>
      <c r="N18" s="40"/>
      <c r="O18" s="39"/>
      <c r="P18" s="40"/>
      <c r="Q18" s="39"/>
      <c r="R18" s="40"/>
      <c r="S18" s="39"/>
      <c r="T18" s="40"/>
      <c r="U18" s="39"/>
      <c r="V18" s="40"/>
      <c r="W18" s="39"/>
      <c r="X18" s="40"/>
      <c r="Y18" s="39"/>
      <c r="Z18" s="40"/>
      <c r="AA18" s="39"/>
      <c r="AB18" s="29"/>
      <c r="AD18" s="176">
        <f>Estimation!BH22</f>
        <v>0</v>
      </c>
      <c r="AE18" s="176"/>
      <c r="AF18" s="176">
        <f>Estimation!BL22</f>
        <v>0</v>
      </c>
      <c r="AG18" s="176"/>
      <c r="AH18" s="176">
        <f>Estimation!BP22</f>
        <v>0</v>
      </c>
      <c r="AI18" s="176"/>
      <c r="AJ18" s="176">
        <f>Estimation!BT22</f>
        <v>0</v>
      </c>
      <c r="AK18" s="176"/>
      <c r="AL18" s="176">
        <f>Estimation!BX22</f>
        <v>0</v>
      </c>
      <c r="AM18" s="176"/>
      <c r="AN18" s="176">
        <f>Estimation!CB22</f>
        <v>0</v>
      </c>
      <c r="AO18" s="176"/>
      <c r="AP18" s="176">
        <f>Estimation!CF22</f>
        <v>0</v>
      </c>
      <c r="AQ18" s="176"/>
      <c r="AR18" s="176">
        <f>Estimation!CJ22</f>
        <v>0</v>
      </c>
      <c r="AS18" s="176"/>
      <c r="AT18" s="176">
        <f>Estimation!CN22</f>
        <v>0</v>
      </c>
      <c r="AU18" s="176"/>
      <c r="AV18" s="176">
        <f>Estimation!CR22</f>
        <v>0</v>
      </c>
      <c r="AW18" s="176"/>
      <c r="AX18" s="176">
        <f>SUM(AD18:AV18)</f>
        <v>0</v>
      </c>
      <c r="AZ18" s="58" t="str">
        <f>Estimation!BE22</f>
        <v>Summer</v>
      </c>
    </row>
    <row r="19" spans="3:52" outlineLevel="1" x14ac:dyDescent="0.25">
      <c r="C19" s="148" t="str">
        <f>Estimation!C23</f>
        <v xml:space="preserve">Co-PI: </v>
      </c>
      <c r="E19" s="39"/>
      <c r="F19" s="40">
        <f>Estimation!J24</f>
        <v>0</v>
      </c>
      <c r="G19" s="39"/>
      <c r="H19" s="40">
        <f>Estimation!L24</f>
        <v>0</v>
      </c>
      <c r="I19" s="39"/>
      <c r="J19" s="40">
        <f>Estimation!N24</f>
        <v>0</v>
      </c>
      <c r="K19" s="39"/>
      <c r="L19" s="40">
        <f>Estimation!P24</f>
        <v>0</v>
      </c>
      <c r="M19" s="39"/>
      <c r="N19" s="40">
        <f>Estimation!R24</f>
        <v>0</v>
      </c>
      <c r="O19" s="39"/>
      <c r="P19" s="40">
        <f>Estimation!T24</f>
        <v>0</v>
      </c>
      <c r="Q19" s="39"/>
      <c r="R19" s="40">
        <f>Estimation!V24</f>
        <v>0</v>
      </c>
      <c r="S19" s="39"/>
      <c r="T19" s="40">
        <f>Estimation!X24</f>
        <v>0</v>
      </c>
      <c r="U19" s="39"/>
      <c r="V19" s="40">
        <f>Estimation!Z24</f>
        <v>0</v>
      </c>
      <c r="W19" s="39"/>
      <c r="X19" s="40">
        <f>Estimation!AB24</f>
        <v>0</v>
      </c>
      <c r="Y19" s="39"/>
      <c r="Z19" s="40">
        <f>F19+H19+J19+L19+N19+P19+R19+T19+V19+X19</f>
        <v>0</v>
      </c>
      <c r="AA19" s="39"/>
      <c r="AB19" s="29"/>
      <c r="AD19" s="176"/>
      <c r="AE19" s="176"/>
      <c r="AF19" s="176"/>
      <c r="AG19" s="176"/>
      <c r="AH19" s="176"/>
      <c r="AI19" s="176"/>
      <c r="AJ19" s="176"/>
      <c r="AK19" s="176"/>
      <c r="AL19" s="176"/>
      <c r="AM19" s="176"/>
      <c r="AN19" s="176"/>
      <c r="AO19" s="176"/>
      <c r="AP19" s="176"/>
      <c r="AQ19" s="176"/>
      <c r="AR19" s="176"/>
      <c r="AS19" s="176"/>
      <c r="AT19" s="176"/>
      <c r="AU19" s="176"/>
      <c r="AV19" s="176"/>
      <c r="AW19" s="176"/>
      <c r="AX19" s="176"/>
      <c r="AZ19" s="176"/>
    </row>
    <row r="20" spans="3:52" outlineLevel="1" x14ac:dyDescent="0.25">
      <c r="C20" s="165" t="str">
        <f>Estimation!D24</f>
        <v>0% time, 0 months, Summer</v>
      </c>
      <c r="E20" s="39"/>
      <c r="F20" s="40"/>
      <c r="G20" s="39"/>
      <c r="H20" s="40"/>
      <c r="I20" s="39"/>
      <c r="J20" s="40"/>
      <c r="K20" s="39"/>
      <c r="L20" s="40"/>
      <c r="M20" s="39"/>
      <c r="N20" s="40"/>
      <c r="O20" s="39"/>
      <c r="P20" s="40"/>
      <c r="Q20" s="39"/>
      <c r="R20" s="40"/>
      <c r="S20" s="39"/>
      <c r="T20" s="40"/>
      <c r="U20" s="39"/>
      <c r="V20" s="40"/>
      <c r="W20" s="39"/>
      <c r="X20" s="40"/>
      <c r="Y20" s="39"/>
      <c r="Z20" s="40"/>
      <c r="AA20" s="39"/>
      <c r="AB20" s="29"/>
      <c r="AD20" s="176">
        <f>Estimation!BH24</f>
        <v>0</v>
      </c>
      <c r="AE20" s="176"/>
      <c r="AF20" s="176">
        <f>Estimation!BL24</f>
        <v>0</v>
      </c>
      <c r="AG20" s="176"/>
      <c r="AH20" s="176">
        <f>Estimation!BP24</f>
        <v>0</v>
      </c>
      <c r="AI20" s="176"/>
      <c r="AJ20" s="176">
        <f>Estimation!BT24</f>
        <v>0</v>
      </c>
      <c r="AK20" s="176"/>
      <c r="AL20" s="176">
        <f>Estimation!BX24</f>
        <v>0</v>
      </c>
      <c r="AM20" s="176"/>
      <c r="AN20" s="176">
        <f>Estimation!CB24</f>
        <v>0</v>
      </c>
      <c r="AO20" s="176"/>
      <c r="AP20" s="176">
        <f>Estimation!CF24</f>
        <v>0</v>
      </c>
      <c r="AQ20" s="176"/>
      <c r="AR20" s="176">
        <f>Estimation!CJ24</f>
        <v>0</v>
      </c>
      <c r="AS20" s="176"/>
      <c r="AT20" s="176">
        <f>Estimation!CN24</f>
        <v>0</v>
      </c>
      <c r="AU20" s="176"/>
      <c r="AV20" s="176">
        <f>Estimation!CR24</f>
        <v>0</v>
      </c>
      <c r="AW20" s="176"/>
      <c r="AX20" s="176">
        <f>SUM(AD20:AV20)</f>
        <v>0</v>
      </c>
      <c r="AZ20" s="58" t="str">
        <f>Estimation!BE24</f>
        <v>Summer</v>
      </c>
    </row>
    <row r="21" spans="3:52" outlineLevel="1" x14ac:dyDescent="0.25">
      <c r="C21" s="148" t="str">
        <f>Estimation!C25</f>
        <v xml:space="preserve">Co-PI: </v>
      </c>
      <c r="E21" s="39"/>
      <c r="F21" s="40">
        <f>Estimation!J26</f>
        <v>0</v>
      </c>
      <c r="G21" s="39"/>
      <c r="H21" s="40">
        <f>Estimation!L26</f>
        <v>0</v>
      </c>
      <c r="I21" s="39"/>
      <c r="J21" s="40">
        <f>Estimation!N26</f>
        <v>0</v>
      </c>
      <c r="K21" s="39"/>
      <c r="L21" s="40">
        <f>Estimation!P26</f>
        <v>0</v>
      </c>
      <c r="M21" s="39"/>
      <c r="N21" s="40">
        <f>Estimation!R26</f>
        <v>0</v>
      </c>
      <c r="O21" s="39"/>
      <c r="P21" s="40">
        <f>Estimation!T26</f>
        <v>0</v>
      </c>
      <c r="Q21" s="39"/>
      <c r="R21" s="40">
        <f>Estimation!V26</f>
        <v>0</v>
      </c>
      <c r="S21" s="39"/>
      <c r="T21" s="40">
        <f>Estimation!X26</f>
        <v>0</v>
      </c>
      <c r="U21" s="39"/>
      <c r="V21" s="40">
        <f>Estimation!Z26</f>
        <v>0</v>
      </c>
      <c r="W21" s="39"/>
      <c r="X21" s="40">
        <f>Estimation!AB26</f>
        <v>0</v>
      </c>
      <c r="Y21" s="39"/>
      <c r="Z21" s="40">
        <f>F21+H21+J21+L21+N21+P21+R21+T21+V21+X21</f>
        <v>0</v>
      </c>
      <c r="AA21" s="39"/>
      <c r="AB21" s="29"/>
      <c r="AD21" s="176"/>
      <c r="AE21" s="176"/>
      <c r="AF21" s="176"/>
      <c r="AG21" s="176"/>
      <c r="AH21" s="176"/>
      <c r="AI21" s="176"/>
      <c r="AJ21" s="176"/>
      <c r="AK21" s="176"/>
      <c r="AL21" s="176"/>
      <c r="AM21" s="176"/>
      <c r="AN21" s="176"/>
      <c r="AO21" s="176"/>
      <c r="AP21" s="176"/>
      <c r="AQ21" s="176"/>
      <c r="AR21" s="176"/>
      <c r="AS21" s="176"/>
      <c r="AT21" s="176"/>
      <c r="AU21" s="176"/>
      <c r="AV21" s="176"/>
      <c r="AW21" s="176"/>
      <c r="AX21" s="176"/>
      <c r="AZ21" s="176"/>
    </row>
    <row r="22" spans="3:52" outlineLevel="1" x14ac:dyDescent="0.25">
      <c r="C22" s="165" t="str">
        <f>Estimation!D26</f>
        <v>0% time, 0 months, Summer</v>
      </c>
      <c r="E22" s="39"/>
      <c r="F22" s="40"/>
      <c r="G22" s="39"/>
      <c r="H22" s="40"/>
      <c r="I22" s="39"/>
      <c r="J22" s="40"/>
      <c r="K22" s="39"/>
      <c r="L22" s="40"/>
      <c r="M22" s="39"/>
      <c r="N22" s="40"/>
      <c r="O22" s="39"/>
      <c r="P22" s="40"/>
      <c r="Q22" s="39"/>
      <c r="R22" s="40"/>
      <c r="S22" s="39"/>
      <c r="T22" s="40"/>
      <c r="U22" s="39"/>
      <c r="V22" s="40"/>
      <c r="W22" s="39"/>
      <c r="X22" s="40"/>
      <c r="Y22" s="39"/>
      <c r="Z22" s="40"/>
      <c r="AA22" s="39"/>
      <c r="AB22" s="29"/>
      <c r="AD22" s="176">
        <f>Estimation!BH26</f>
        <v>0</v>
      </c>
      <c r="AE22" s="176"/>
      <c r="AF22" s="176">
        <f>Estimation!BL26</f>
        <v>0</v>
      </c>
      <c r="AG22" s="176"/>
      <c r="AH22" s="176">
        <f>Estimation!BP26</f>
        <v>0</v>
      </c>
      <c r="AI22" s="176"/>
      <c r="AJ22" s="176">
        <f>Estimation!BT26</f>
        <v>0</v>
      </c>
      <c r="AK22" s="176"/>
      <c r="AL22" s="176">
        <f>Estimation!BX26</f>
        <v>0</v>
      </c>
      <c r="AM22" s="176"/>
      <c r="AN22" s="176">
        <f>Estimation!CB26</f>
        <v>0</v>
      </c>
      <c r="AO22" s="176"/>
      <c r="AP22" s="176">
        <f>Estimation!CF26</f>
        <v>0</v>
      </c>
      <c r="AQ22" s="176"/>
      <c r="AR22" s="176">
        <f>Estimation!CJ26</f>
        <v>0</v>
      </c>
      <c r="AS22" s="176"/>
      <c r="AT22" s="176">
        <f>Estimation!CN26</f>
        <v>0</v>
      </c>
      <c r="AU22" s="176"/>
      <c r="AV22" s="176">
        <f>Estimation!CR26</f>
        <v>0</v>
      </c>
      <c r="AW22" s="176"/>
      <c r="AX22" s="176">
        <f>SUM(AD22:AV22)</f>
        <v>0</v>
      </c>
      <c r="AZ22" s="58" t="str">
        <f>Estimation!BE26</f>
        <v>Summer</v>
      </c>
    </row>
    <row r="23" spans="3:52" outlineLevel="1" x14ac:dyDescent="0.25">
      <c r="C23" s="148" t="str">
        <f>Estimation!C27</f>
        <v xml:space="preserve">Co-PI: </v>
      </c>
      <c r="E23" s="39"/>
      <c r="F23" s="40">
        <f>Estimation!J28</f>
        <v>0</v>
      </c>
      <c r="G23" s="39"/>
      <c r="H23" s="40">
        <f>Estimation!L28</f>
        <v>0</v>
      </c>
      <c r="I23" s="39"/>
      <c r="J23" s="40">
        <f>Estimation!N28</f>
        <v>0</v>
      </c>
      <c r="K23" s="39"/>
      <c r="L23" s="40">
        <f>Estimation!P28</f>
        <v>0</v>
      </c>
      <c r="M23" s="39"/>
      <c r="N23" s="40">
        <f>Estimation!R28</f>
        <v>0</v>
      </c>
      <c r="O23" s="39"/>
      <c r="P23" s="40">
        <f>Estimation!T28</f>
        <v>0</v>
      </c>
      <c r="Q23" s="39"/>
      <c r="R23" s="40">
        <f>Estimation!V28</f>
        <v>0</v>
      </c>
      <c r="S23" s="39"/>
      <c r="T23" s="40">
        <f>Estimation!X28</f>
        <v>0</v>
      </c>
      <c r="U23" s="39"/>
      <c r="V23" s="40">
        <f>Estimation!Z28</f>
        <v>0</v>
      </c>
      <c r="W23" s="39"/>
      <c r="X23" s="40">
        <f>Estimation!AB28</f>
        <v>0</v>
      </c>
      <c r="Y23" s="39"/>
      <c r="Z23" s="40">
        <f>F23+H23+J23+L23+N23+P23+R23+T23+V23+X23</f>
        <v>0</v>
      </c>
      <c r="AA23" s="39"/>
      <c r="AB23" s="29"/>
      <c r="AD23" s="176"/>
      <c r="AE23" s="176"/>
      <c r="AF23" s="176"/>
      <c r="AG23" s="176"/>
      <c r="AH23" s="176"/>
      <c r="AI23" s="176"/>
      <c r="AJ23" s="176"/>
      <c r="AK23" s="176"/>
      <c r="AL23" s="176"/>
      <c r="AM23" s="176"/>
      <c r="AN23" s="176"/>
      <c r="AO23" s="176"/>
      <c r="AP23" s="176"/>
      <c r="AQ23" s="176"/>
      <c r="AR23" s="176"/>
      <c r="AS23" s="176"/>
      <c r="AT23" s="176"/>
      <c r="AU23" s="176"/>
      <c r="AV23" s="176"/>
      <c r="AW23" s="176"/>
      <c r="AX23" s="176"/>
      <c r="AZ23" s="176"/>
    </row>
    <row r="24" spans="3:52" outlineLevel="1" x14ac:dyDescent="0.25">
      <c r="C24" s="165" t="str">
        <f>Estimation!D28</f>
        <v>0% time, 0 months, Summer</v>
      </c>
      <c r="E24" s="39"/>
      <c r="F24" s="40"/>
      <c r="G24" s="39"/>
      <c r="H24" s="40"/>
      <c r="I24" s="39"/>
      <c r="J24" s="40"/>
      <c r="K24" s="39"/>
      <c r="L24" s="40"/>
      <c r="M24" s="39"/>
      <c r="N24" s="40"/>
      <c r="O24" s="39"/>
      <c r="P24" s="40"/>
      <c r="Q24" s="39"/>
      <c r="R24" s="40"/>
      <c r="S24" s="39"/>
      <c r="T24" s="40"/>
      <c r="U24" s="39"/>
      <c r="V24" s="40"/>
      <c r="W24" s="39"/>
      <c r="X24" s="40"/>
      <c r="Y24" s="39"/>
      <c r="Z24" s="40"/>
      <c r="AA24" s="39"/>
      <c r="AB24" s="29"/>
      <c r="AD24" s="176">
        <f>Estimation!BH28</f>
        <v>0</v>
      </c>
      <c r="AE24" s="176"/>
      <c r="AF24" s="176">
        <f>Estimation!BL28</f>
        <v>0</v>
      </c>
      <c r="AG24" s="176"/>
      <c r="AH24" s="176">
        <f>Estimation!BP28</f>
        <v>0</v>
      </c>
      <c r="AI24" s="176"/>
      <c r="AJ24" s="176">
        <f>Estimation!BT28</f>
        <v>0</v>
      </c>
      <c r="AK24" s="176"/>
      <c r="AL24" s="176">
        <f>Estimation!BX28</f>
        <v>0</v>
      </c>
      <c r="AM24" s="176"/>
      <c r="AN24" s="176">
        <f>Estimation!CB28</f>
        <v>0</v>
      </c>
      <c r="AO24" s="176"/>
      <c r="AP24" s="176">
        <f>Estimation!CF28</f>
        <v>0</v>
      </c>
      <c r="AQ24" s="176"/>
      <c r="AR24" s="176">
        <f>Estimation!CJ28</f>
        <v>0</v>
      </c>
      <c r="AS24" s="176"/>
      <c r="AT24" s="176">
        <f>Estimation!CN28</f>
        <v>0</v>
      </c>
      <c r="AU24" s="176"/>
      <c r="AV24" s="176">
        <f>Estimation!CR28</f>
        <v>0</v>
      </c>
      <c r="AW24" s="176"/>
      <c r="AX24" s="176">
        <f>SUM(AD24:AV24)</f>
        <v>0</v>
      </c>
      <c r="AZ24" s="58" t="str">
        <f>Estimation!BE28</f>
        <v>Summer</v>
      </c>
    </row>
    <row r="25" spans="3:52" outlineLevel="1" x14ac:dyDescent="0.25">
      <c r="C25" s="148" t="str">
        <f>Estimation!C29</f>
        <v xml:space="preserve">Co-PI: </v>
      </c>
      <c r="E25" s="39"/>
      <c r="F25" s="40">
        <f>Estimation!J30</f>
        <v>0</v>
      </c>
      <c r="G25" s="39"/>
      <c r="H25" s="40">
        <f>Estimation!L30</f>
        <v>0</v>
      </c>
      <c r="I25" s="39"/>
      <c r="J25" s="40">
        <f>Estimation!N30</f>
        <v>0</v>
      </c>
      <c r="K25" s="39"/>
      <c r="L25" s="40">
        <f>Estimation!P30</f>
        <v>0</v>
      </c>
      <c r="M25" s="39"/>
      <c r="N25" s="40">
        <f>Estimation!R30</f>
        <v>0</v>
      </c>
      <c r="O25" s="39"/>
      <c r="P25" s="40">
        <f>Estimation!T30</f>
        <v>0</v>
      </c>
      <c r="Q25" s="39"/>
      <c r="R25" s="40">
        <f>Estimation!V30</f>
        <v>0</v>
      </c>
      <c r="S25" s="39"/>
      <c r="T25" s="40">
        <f>Estimation!X30</f>
        <v>0</v>
      </c>
      <c r="U25" s="39"/>
      <c r="V25" s="40">
        <f>Estimation!Z30</f>
        <v>0</v>
      </c>
      <c r="W25" s="39"/>
      <c r="X25" s="40">
        <f>Estimation!AB30</f>
        <v>0</v>
      </c>
      <c r="Y25" s="39"/>
      <c r="Z25" s="40">
        <f>F25+H25+J25+L25+N25+P25+R25+T25+V25+X25</f>
        <v>0</v>
      </c>
      <c r="AA25" s="39"/>
      <c r="AB25" s="29"/>
      <c r="AD25" s="176"/>
      <c r="AE25" s="176"/>
      <c r="AF25" s="176"/>
      <c r="AG25" s="176"/>
      <c r="AH25" s="176"/>
      <c r="AI25" s="176"/>
      <c r="AJ25" s="176"/>
      <c r="AK25" s="176"/>
      <c r="AL25" s="176"/>
      <c r="AM25" s="176"/>
      <c r="AN25" s="176"/>
      <c r="AO25" s="176"/>
      <c r="AP25" s="176"/>
      <c r="AQ25" s="176"/>
      <c r="AR25" s="176"/>
      <c r="AS25" s="176"/>
      <c r="AT25" s="176"/>
      <c r="AU25" s="176"/>
      <c r="AV25" s="176"/>
      <c r="AW25" s="176"/>
      <c r="AX25" s="176"/>
      <c r="AZ25" s="176"/>
    </row>
    <row r="26" spans="3:52" outlineLevel="1" x14ac:dyDescent="0.25">
      <c r="C26" s="165" t="str">
        <f>Estimation!D30</f>
        <v>0% time, 0 months, Summer</v>
      </c>
      <c r="E26" s="39"/>
      <c r="F26" s="40"/>
      <c r="G26" s="39"/>
      <c r="H26" s="40"/>
      <c r="I26" s="39"/>
      <c r="J26" s="40"/>
      <c r="K26" s="39"/>
      <c r="L26" s="40"/>
      <c r="M26" s="39"/>
      <c r="N26" s="40"/>
      <c r="O26" s="39"/>
      <c r="P26" s="40"/>
      <c r="Q26" s="39"/>
      <c r="R26" s="40"/>
      <c r="S26" s="39"/>
      <c r="T26" s="40"/>
      <c r="U26" s="39"/>
      <c r="V26" s="40"/>
      <c r="W26" s="39"/>
      <c r="X26" s="40"/>
      <c r="Y26" s="39"/>
      <c r="Z26" s="40"/>
      <c r="AA26" s="39"/>
      <c r="AB26" s="29"/>
      <c r="AD26" s="176">
        <f>Estimation!BH30</f>
        <v>0</v>
      </c>
      <c r="AE26" s="176"/>
      <c r="AF26" s="176">
        <f>Estimation!BL30</f>
        <v>0</v>
      </c>
      <c r="AG26" s="176"/>
      <c r="AH26" s="176">
        <f>Estimation!BP30</f>
        <v>0</v>
      </c>
      <c r="AI26" s="176"/>
      <c r="AJ26" s="176">
        <f>Estimation!BT30</f>
        <v>0</v>
      </c>
      <c r="AK26" s="176"/>
      <c r="AL26" s="176">
        <f>Estimation!BX30</f>
        <v>0</v>
      </c>
      <c r="AM26" s="176"/>
      <c r="AN26" s="176">
        <f>Estimation!CB30</f>
        <v>0</v>
      </c>
      <c r="AO26" s="176"/>
      <c r="AP26" s="176">
        <f>Estimation!CF30</f>
        <v>0</v>
      </c>
      <c r="AQ26" s="176"/>
      <c r="AR26" s="176">
        <f>Estimation!CJ30</f>
        <v>0</v>
      </c>
      <c r="AS26" s="176"/>
      <c r="AT26" s="176">
        <f>Estimation!CN30</f>
        <v>0</v>
      </c>
      <c r="AU26" s="176"/>
      <c r="AV26" s="176">
        <f>Estimation!CR30</f>
        <v>0</v>
      </c>
      <c r="AW26" s="176"/>
      <c r="AX26" s="176">
        <f>SUM(AD26:AV26)</f>
        <v>0</v>
      </c>
      <c r="AZ26" s="58" t="str">
        <f>Estimation!BE30</f>
        <v>Summer</v>
      </c>
    </row>
    <row r="27" spans="3:52" x14ac:dyDescent="0.25">
      <c r="C27" s="41" t="s">
        <v>227</v>
      </c>
      <c r="E27" s="39"/>
      <c r="F27" s="40">
        <f>SUM(F28:F37)</f>
        <v>0</v>
      </c>
      <c r="G27" s="39"/>
      <c r="H27" s="40">
        <f>SUM(H28:H37)</f>
        <v>0</v>
      </c>
      <c r="I27" s="39"/>
      <c r="J27" s="40">
        <f>SUM(J28:J37)</f>
        <v>0</v>
      </c>
      <c r="K27" s="39"/>
      <c r="L27" s="40">
        <f>SUM(L28:L37)</f>
        <v>0</v>
      </c>
      <c r="M27" s="39"/>
      <c r="N27" s="40">
        <f>SUM(N28:N37)</f>
        <v>0</v>
      </c>
      <c r="O27" s="39"/>
      <c r="P27" s="40">
        <f>SUM(P28:P37)</f>
        <v>0</v>
      </c>
      <c r="Q27" s="39"/>
      <c r="R27" s="40">
        <f>SUM(R28:R37)</f>
        <v>0</v>
      </c>
      <c r="S27" s="39"/>
      <c r="T27" s="40">
        <f>SUM(T28:T37)</f>
        <v>0</v>
      </c>
      <c r="U27" s="39"/>
      <c r="V27" s="40">
        <f>SUM(V28:V37)</f>
        <v>0</v>
      </c>
      <c r="W27" s="39"/>
      <c r="X27" s="40">
        <f>SUM(X28:X37)</f>
        <v>0</v>
      </c>
      <c r="Y27" s="39"/>
      <c r="Z27" s="40">
        <f>F27+H27+J27+L27+N27+P27+R27+T27+V27+X27</f>
        <v>0</v>
      </c>
      <c r="AA27" s="39"/>
      <c r="AB27" s="29"/>
      <c r="AZ27" s="176"/>
    </row>
    <row r="28" spans="3:52" outlineLevel="1" x14ac:dyDescent="0.25">
      <c r="C28" s="148" t="str">
        <f>Hidden_Lookups!$A$10</f>
        <v>Regular Faculty</v>
      </c>
      <c r="E28" s="39"/>
      <c r="F28" s="40">
        <f>SUMIF(Estimation!$A$32:$A$64,$C28,Estimation!J$32:J$64)</f>
        <v>0</v>
      </c>
      <c r="G28" s="39"/>
      <c r="H28" s="40">
        <f>SUMIF(Estimation!$A$32:$A$64,$C28,Estimation!L$32:L$64)</f>
        <v>0</v>
      </c>
      <c r="I28" s="39"/>
      <c r="J28" s="40">
        <f>SUMIF(Estimation!$A$32:$A$64,$C28,Estimation!N$32:N$64)</f>
        <v>0</v>
      </c>
      <c r="K28" s="39"/>
      <c r="L28" s="40">
        <f>SUMIF(Estimation!$A$32:$A$64,$C28,Estimation!P$32:P$64)</f>
        <v>0</v>
      </c>
      <c r="M28" s="39"/>
      <c r="N28" s="40">
        <f>SUMIF(Estimation!$A$32:$A$64,$C28,Estimation!R$32:R$64)</f>
        <v>0</v>
      </c>
      <c r="O28" s="39"/>
      <c r="P28" s="40">
        <f>SUMIF(Estimation!$A$32:$A$64,$C28,Estimation!T$32:T$64)</f>
        <v>0</v>
      </c>
      <c r="Q28" s="39"/>
      <c r="R28" s="40">
        <f>SUMIF(Estimation!$A$32:$A$64,$C28,Estimation!V$32:V$64)</f>
        <v>0</v>
      </c>
      <c r="S28" s="39"/>
      <c r="T28" s="40">
        <f>SUMIF(Estimation!$A$32:$A$64,$C28,Estimation!X$32:X$64)</f>
        <v>0</v>
      </c>
      <c r="U28" s="39"/>
      <c r="V28" s="40">
        <f>SUMIF(Estimation!$A$32:$A$64,$C28,Estimation!Z$32:Z$64)</f>
        <v>0</v>
      </c>
      <c r="W28" s="39"/>
      <c r="X28" s="40">
        <f>SUMIF(Estimation!$A$32:$A$64,$C28,Estimation!AB$32:AB$64)</f>
        <v>0</v>
      </c>
      <c r="Y28" s="39"/>
      <c r="Z28" s="40">
        <f t="shared" ref="Z28:Z37" si="0">F28+H28+J28+L28+N28+P28+R28+T28+V28+X28</f>
        <v>0</v>
      </c>
      <c r="AA28" s="39"/>
      <c r="AB28" s="29"/>
    </row>
    <row r="29" spans="3:52" outlineLevel="1" x14ac:dyDescent="0.25">
      <c r="C29" s="148" t="str">
        <f>Hidden_Lookups!$A$11</f>
        <v>Research Associate</v>
      </c>
      <c r="E29" s="39"/>
      <c r="F29" s="40">
        <f>SUMIF(Estimation!$A$32:$A$64,$C29,Estimation!J$32:J$64)</f>
        <v>0</v>
      </c>
      <c r="G29" s="39"/>
      <c r="H29" s="40">
        <f>SUMIF(Estimation!$A$32:$A$64,$C29,Estimation!L$32:L$64)</f>
        <v>0</v>
      </c>
      <c r="I29" s="39"/>
      <c r="J29" s="40">
        <f>SUMIF(Estimation!$A$32:$A$64,$C29,Estimation!N$32:N$64)</f>
        <v>0</v>
      </c>
      <c r="K29" s="39"/>
      <c r="L29" s="40">
        <f>SUMIF(Estimation!$A$32:$A$64,$C29,Estimation!P$32:P$64)</f>
        <v>0</v>
      </c>
      <c r="M29" s="39"/>
      <c r="N29" s="40">
        <f>SUMIF(Estimation!$A$32:$A$64,$C29,Estimation!R$32:R$64)</f>
        <v>0</v>
      </c>
      <c r="O29" s="39"/>
      <c r="P29" s="40">
        <f>SUMIF(Estimation!$A$32:$A$64,$C29,Estimation!T$32:T$64)</f>
        <v>0</v>
      </c>
      <c r="Q29" s="39"/>
      <c r="R29" s="40">
        <f>SUMIF(Estimation!$A$32:$A$64,$C29,Estimation!V$32:V$64)</f>
        <v>0</v>
      </c>
      <c r="S29" s="39"/>
      <c r="T29" s="40">
        <f>SUMIF(Estimation!$A$32:$A$64,$C29,Estimation!X$32:X$64)</f>
        <v>0</v>
      </c>
      <c r="U29" s="39"/>
      <c r="V29" s="40">
        <f>SUMIF(Estimation!$A$32:$A$64,$C29,Estimation!Z$32:Z$64)</f>
        <v>0</v>
      </c>
      <c r="W29" s="39"/>
      <c r="X29" s="40">
        <f>SUMIF(Estimation!$A$32:$A$64,$C29,Estimation!AB$32:AB$64)</f>
        <v>0</v>
      </c>
      <c r="Y29" s="39"/>
      <c r="Z29" s="40">
        <f t="shared" si="0"/>
        <v>0</v>
      </c>
      <c r="AA29" s="39"/>
      <c r="AB29" s="29"/>
    </row>
    <row r="30" spans="3:52" outlineLevel="1" x14ac:dyDescent="0.25">
      <c r="C30" s="148" t="str">
        <f>Hidden_Lookups!$A$7</f>
        <v>Post Doctoral Associate</v>
      </c>
      <c r="E30" s="39"/>
      <c r="F30" s="40">
        <f>SUMIF(Estimation!$A$32:$A$64,$C30,Estimation!J$32:J$64)</f>
        <v>0</v>
      </c>
      <c r="G30" s="39"/>
      <c r="H30" s="40">
        <f>SUMIF(Estimation!$A$32:$A$64,$C30,Estimation!L$32:L$64)</f>
        <v>0</v>
      </c>
      <c r="I30" s="39"/>
      <c r="J30" s="40">
        <f>SUMIF(Estimation!$A$32:$A$64,$C30,Estimation!N$32:N$64)</f>
        <v>0</v>
      </c>
      <c r="K30" s="39"/>
      <c r="L30" s="40">
        <f>SUMIF(Estimation!$A$32:$A$64,$C30,Estimation!P$32:P$64)</f>
        <v>0</v>
      </c>
      <c r="M30" s="39"/>
      <c r="N30" s="40">
        <f>SUMIF(Estimation!$A$32:$A$64,$C30,Estimation!R$32:R$64)</f>
        <v>0</v>
      </c>
      <c r="O30" s="39"/>
      <c r="P30" s="40">
        <f>SUMIF(Estimation!$A$32:$A$64,$C30,Estimation!T$32:T$64)</f>
        <v>0</v>
      </c>
      <c r="Q30" s="39"/>
      <c r="R30" s="40">
        <f>SUMIF(Estimation!$A$32:$A$64,$C30,Estimation!V$32:V$64)</f>
        <v>0</v>
      </c>
      <c r="S30" s="39"/>
      <c r="T30" s="40">
        <f>SUMIF(Estimation!$A$32:$A$64,$C30,Estimation!X$32:X$64)</f>
        <v>0</v>
      </c>
      <c r="U30" s="39"/>
      <c r="V30" s="40">
        <f>SUMIF(Estimation!$A$32:$A$64,$C30,Estimation!Z$32:Z$64)</f>
        <v>0</v>
      </c>
      <c r="W30" s="39"/>
      <c r="X30" s="40">
        <f>SUMIF(Estimation!$A$32:$A$64,$C30,Estimation!AB$32:AB$64)</f>
        <v>0</v>
      </c>
      <c r="Y30" s="39"/>
      <c r="Z30" s="40">
        <f t="shared" si="0"/>
        <v>0</v>
      </c>
      <c r="AA30" s="39"/>
      <c r="AB30" s="29"/>
    </row>
    <row r="31" spans="3:52" outlineLevel="1" x14ac:dyDescent="0.25">
      <c r="C31" s="148" t="str">
        <f>Hidden_Lookups!A8</f>
        <v>Pre/Post Doctoral Stipend</v>
      </c>
      <c r="E31" s="39"/>
      <c r="F31" s="40">
        <f>SUMIF(Estimation!$A$32:$A$64,$C31,Estimation!J$32:J$64)</f>
        <v>0</v>
      </c>
      <c r="G31" s="39"/>
      <c r="H31" s="40">
        <f>SUMIF(Estimation!$A$32:$A$64,$C31,Estimation!L$32:L$64)</f>
        <v>0</v>
      </c>
      <c r="I31" s="39"/>
      <c r="J31" s="40">
        <f>SUMIF(Estimation!$A$32:$A$64,$C31,Estimation!N$32:N$64)</f>
        <v>0</v>
      </c>
      <c r="K31" s="39"/>
      <c r="L31" s="40">
        <f>SUMIF(Estimation!$A$32:$A$64,$C31,Estimation!P$32:P$64)</f>
        <v>0</v>
      </c>
      <c r="M31" s="39"/>
      <c r="N31" s="40">
        <f>SUMIF(Estimation!$A$32:$A$64,$C31,Estimation!R$32:R$64)</f>
        <v>0</v>
      </c>
      <c r="O31" s="39"/>
      <c r="P31" s="40">
        <f>SUMIF(Estimation!$A$32:$A$64,$C31,Estimation!T$32:T$64)</f>
        <v>0</v>
      </c>
      <c r="Q31" s="39"/>
      <c r="R31" s="40">
        <f>SUMIF(Estimation!$A$32:$A$64,$C31,Estimation!V$32:V$64)</f>
        <v>0</v>
      </c>
      <c r="S31" s="39"/>
      <c r="T31" s="40">
        <f>SUMIF(Estimation!$A$32:$A$64,$C31,Estimation!X$32:X$64)</f>
        <v>0</v>
      </c>
      <c r="U31" s="39"/>
      <c r="V31" s="40">
        <f>SUMIF(Estimation!$A$32:$A$64,$C31,Estimation!Z$32:Z$64)</f>
        <v>0</v>
      </c>
      <c r="W31" s="39"/>
      <c r="X31" s="40">
        <f>SUMIF(Estimation!$A$32:$A$64,$C31,Estimation!AB$32:AB$64)</f>
        <v>0</v>
      </c>
      <c r="Y31" s="39"/>
      <c r="Z31" s="40">
        <f t="shared" si="0"/>
        <v>0</v>
      </c>
      <c r="AA31" s="39"/>
      <c r="AB31" s="29"/>
    </row>
    <row r="32" spans="3:52" outlineLevel="1" x14ac:dyDescent="0.25">
      <c r="C32" s="148" t="str">
        <f>Hidden_Lookups!$A$9</f>
        <v>Professional Research Assistant</v>
      </c>
      <c r="E32" s="39"/>
      <c r="F32" s="40">
        <f>SUMIF(Estimation!$A$32:$A$64,$C32,Estimation!J$32:J$64)</f>
        <v>0</v>
      </c>
      <c r="G32" s="39"/>
      <c r="H32" s="40">
        <f>SUMIF(Estimation!$A$32:$A$64,$C32,Estimation!L$32:L$64)</f>
        <v>0</v>
      </c>
      <c r="I32" s="39"/>
      <c r="J32" s="40">
        <f>SUMIF(Estimation!$A$32:$A$64,$C32,Estimation!N$32:N$64)</f>
        <v>0</v>
      </c>
      <c r="K32" s="39"/>
      <c r="L32" s="40">
        <f>SUMIF(Estimation!$A$32:$A$64,$C32,Estimation!P$32:P$64)</f>
        <v>0</v>
      </c>
      <c r="M32" s="39"/>
      <c r="N32" s="40">
        <f>SUMIF(Estimation!$A$32:$A$64,$C32,Estimation!R$32:R$64)</f>
        <v>0</v>
      </c>
      <c r="O32" s="39"/>
      <c r="P32" s="40">
        <f>SUMIF(Estimation!$A$32:$A$64,$C32,Estimation!T$32:T$64)</f>
        <v>0</v>
      </c>
      <c r="Q32" s="39"/>
      <c r="R32" s="40">
        <f>SUMIF(Estimation!$A$32:$A$64,$C32,Estimation!V$32:V$64)</f>
        <v>0</v>
      </c>
      <c r="S32" s="39"/>
      <c r="T32" s="40">
        <f>SUMIF(Estimation!$A$32:$A$64,$C32,Estimation!X$32:X$64)</f>
        <v>0</v>
      </c>
      <c r="U32" s="39"/>
      <c r="V32" s="40">
        <f>SUMIF(Estimation!$A$32:$A$64,$C32,Estimation!Z$32:Z$64)</f>
        <v>0</v>
      </c>
      <c r="W32" s="39"/>
      <c r="X32" s="40">
        <f>SUMIF(Estimation!$A$32:$A$64,$C32,Estimation!AB$32:AB$64)</f>
        <v>0</v>
      </c>
      <c r="Y32" s="39"/>
      <c r="Z32" s="40">
        <f t="shared" si="0"/>
        <v>0</v>
      </c>
      <c r="AA32" s="39"/>
      <c r="AB32" s="29"/>
    </row>
    <row r="33" spans="2:28" outlineLevel="1" x14ac:dyDescent="0.25">
      <c r="C33" s="148" t="str">
        <f>Hidden_Lookups!$A$2</f>
        <v>Administrative Assistant</v>
      </c>
      <c r="E33" s="39"/>
      <c r="F33" s="40">
        <f>SUMIF(Estimation!$A$32:$A$64,$C33,Estimation!J$32:J$64)</f>
        <v>0</v>
      </c>
      <c r="G33" s="39"/>
      <c r="H33" s="40">
        <f>SUMIF(Estimation!$A$32:$A$64,$C33,Estimation!L$32:L$64)</f>
        <v>0</v>
      </c>
      <c r="I33" s="39"/>
      <c r="J33" s="40">
        <f>SUMIF(Estimation!$A$32:$A$64,$C33,Estimation!N$32:N$64)</f>
        <v>0</v>
      </c>
      <c r="K33" s="39"/>
      <c r="L33" s="40">
        <f>SUMIF(Estimation!$A$32:$A$64,$C33,Estimation!P$32:P$64)</f>
        <v>0</v>
      </c>
      <c r="M33" s="39"/>
      <c r="N33" s="40">
        <f>SUMIF(Estimation!$A$32:$A$64,$C33,Estimation!R$32:R$64)</f>
        <v>0</v>
      </c>
      <c r="O33" s="39"/>
      <c r="P33" s="40">
        <f>SUMIF(Estimation!$A$32:$A$64,$C33,Estimation!T$32:T$64)</f>
        <v>0</v>
      </c>
      <c r="Q33" s="39"/>
      <c r="R33" s="40">
        <f>SUMIF(Estimation!$A$32:$A$64,$C33,Estimation!V$32:V$64)</f>
        <v>0</v>
      </c>
      <c r="S33" s="39"/>
      <c r="T33" s="40">
        <f>SUMIF(Estimation!$A$32:$A$64,$C33,Estimation!X$32:X$64)</f>
        <v>0</v>
      </c>
      <c r="U33" s="39"/>
      <c r="V33" s="40">
        <f>SUMIF(Estimation!$A$32:$A$64,$C33,Estimation!Z$32:Z$64)</f>
        <v>0</v>
      </c>
      <c r="W33" s="39"/>
      <c r="X33" s="40">
        <f>SUMIF(Estimation!$A$32:$A$64,$C33,Estimation!AB$32:AB$64)</f>
        <v>0</v>
      </c>
      <c r="Y33" s="39"/>
      <c r="Z33" s="40">
        <f t="shared" si="0"/>
        <v>0</v>
      </c>
      <c r="AA33" s="39"/>
      <c r="AB33" s="29"/>
    </row>
    <row r="34" spans="2:28" outlineLevel="1" x14ac:dyDescent="0.25">
      <c r="C34" s="148" t="str">
        <f>Hidden_Lookups!$A$5</f>
        <v>OEP F/T or Classified Perm</v>
      </c>
      <c r="E34" s="39"/>
      <c r="F34" s="40">
        <f>SUMIF(Estimation!$A$32:$A$64,$C34,Estimation!J$32:J$64)</f>
        <v>0</v>
      </c>
      <c r="G34" s="39"/>
      <c r="H34" s="40">
        <f>SUMIF(Estimation!$A$32:$A$64,$C34,Estimation!L$32:L$64)</f>
        <v>0</v>
      </c>
      <c r="I34" s="39"/>
      <c r="J34" s="40">
        <f>SUMIF(Estimation!$A$32:$A$64,$C34,Estimation!N$32:N$64)</f>
        <v>0</v>
      </c>
      <c r="K34" s="39"/>
      <c r="L34" s="40">
        <f>SUMIF(Estimation!$A$32:$A$64,$C34,Estimation!P$32:P$64)</f>
        <v>0</v>
      </c>
      <c r="M34" s="39"/>
      <c r="N34" s="40">
        <f>SUMIF(Estimation!$A$32:$A$64,$C34,Estimation!R$32:R$64)</f>
        <v>0</v>
      </c>
      <c r="O34" s="39"/>
      <c r="P34" s="40">
        <f>SUMIF(Estimation!$A$32:$A$64,$C34,Estimation!T$32:T$64)</f>
        <v>0</v>
      </c>
      <c r="Q34" s="39"/>
      <c r="R34" s="40">
        <f>SUMIF(Estimation!$A$32:$A$64,$C34,Estimation!V$32:V$64)</f>
        <v>0</v>
      </c>
      <c r="S34" s="39"/>
      <c r="T34" s="40">
        <f>SUMIF(Estimation!$A$32:$A$64,$C34,Estimation!X$32:X$64)</f>
        <v>0</v>
      </c>
      <c r="U34" s="39"/>
      <c r="V34" s="40">
        <f>SUMIF(Estimation!$A$32:$A$64,$C34,Estimation!Z$32:Z$64)</f>
        <v>0</v>
      </c>
      <c r="W34" s="39"/>
      <c r="X34" s="40">
        <f>SUMIF(Estimation!$A$32:$A$64,$C34,Estimation!AB$32:AB$64)</f>
        <v>0</v>
      </c>
      <c r="Y34" s="39"/>
      <c r="Z34" s="40">
        <f t="shared" si="0"/>
        <v>0</v>
      </c>
      <c r="AA34" s="39"/>
      <c r="AB34" s="29"/>
    </row>
    <row r="35" spans="2:28" outlineLevel="1" x14ac:dyDescent="0.25">
      <c r="C35" s="148" t="str">
        <f>Hidden_Lookups!$A$6</f>
        <v>OEP P/T or Classified Temp</v>
      </c>
      <c r="E35" s="39"/>
      <c r="F35" s="40">
        <f>SUMIF(Estimation!$A$32:$A$64,$C35,Estimation!J$32:J$64)</f>
        <v>0</v>
      </c>
      <c r="G35" s="39"/>
      <c r="H35" s="40">
        <f>SUMIF(Estimation!$A$32:$A$64,$C35,Estimation!L$32:L$64)</f>
        <v>0</v>
      </c>
      <c r="I35" s="39"/>
      <c r="J35" s="40">
        <f>SUMIF(Estimation!$A$32:$A$64,$C35,Estimation!N$32:N$64)</f>
        <v>0</v>
      </c>
      <c r="K35" s="39"/>
      <c r="L35" s="40">
        <f>SUMIF(Estimation!$A$32:$A$64,$C35,Estimation!P$32:P$64)</f>
        <v>0</v>
      </c>
      <c r="M35" s="39"/>
      <c r="N35" s="40">
        <f>SUMIF(Estimation!$A$32:$A$64,$C35,Estimation!R$32:R$64)</f>
        <v>0</v>
      </c>
      <c r="O35" s="39"/>
      <c r="P35" s="40">
        <f>SUMIF(Estimation!$A$32:$A$64,$C35,Estimation!T$32:T$64)</f>
        <v>0</v>
      </c>
      <c r="Q35" s="39"/>
      <c r="R35" s="40">
        <f>SUMIF(Estimation!$A$32:$A$64,$C35,Estimation!V$32:V$64)</f>
        <v>0</v>
      </c>
      <c r="S35" s="39"/>
      <c r="T35" s="40">
        <f>SUMIF(Estimation!$A$32:$A$64,$C35,Estimation!X$32:X$64)</f>
        <v>0</v>
      </c>
      <c r="U35" s="39"/>
      <c r="V35" s="40">
        <f>SUMIF(Estimation!$A$32:$A$64,$C35,Estimation!Z$32:Z$64)</f>
        <v>0</v>
      </c>
      <c r="W35" s="39"/>
      <c r="X35" s="40">
        <f>SUMIF(Estimation!$A$32:$A$64,$C35,Estimation!AB$32:AB$64)</f>
        <v>0</v>
      </c>
      <c r="Y35" s="39"/>
      <c r="Z35" s="40">
        <f t="shared" si="0"/>
        <v>0</v>
      </c>
      <c r="AA35" s="39"/>
      <c r="AB35" s="29"/>
    </row>
    <row r="36" spans="2:28" outlineLevel="1" x14ac:dyDescent="0.25">
      <c r="C36" s="148" t="str">
        <f>Hidden_Lookups!$A$3</f>
        <v>Graduate Research Assistant</v>
      </c>
      <c r="E36" s="39"/>
      <c r="F36" s="40">
        <f>SUMIF(Estimation!$A$32:$A$64,$C36,Estimation!J$32:J$64)</f>
        <v>0</v>
      </c>
      <c r="G36" s="39"/>
      <c r="H36" s="40">
        <f>SUMIF(Estimation!$A$32:$A$64,$C36,Estimation!L$32:L$64)</f>
        <v>0</v>
      </c>
      <c r="I36" s="39"/>
      <c r="J36" s="40">
        <f>SUMIF(Estimation!$A$32:$A$64,$C36,Estimation!N$32:N$64)</f>
        <v>0</v>
      </c>
      <c r="K36" s="39"/>
      <c r="L36" s="40">
        <f>SUMIF(Estimation!$A$32:$A$64,$C36,Estimation!P$32:P$64)</f>
        <v>0</v>
      </c>
      <c r="M36" s="39"/>
      <c r="N36" s="40">
        <f>SUMIF(Estimation!$A$32:$A$64,$C36,Estimation!R$32:R$64)</f>
        <v>0</v>
      </c>
      <c r="O36" s="39"/>
      <c r="P36" s="40">
        <f>SUMIF(Estimation!$A$32:$A$64,$C36,Estimation!T$32:T$64)</f>
        <v>0</v>
      </c>
      <c r="Q36" s="39"/>
      <c r="R36" s="40">
        <f>SUMIF(Estimation!$A$32:$A$64,$C36,Estimation!V$32:V$64)</f>
        <v>0</v>
      </c>
      <c r="S36" s="39"/>
      <c r="T36" s="40">
        <f>SUMIF(Estimation!$A$32:$A$64,$C36,Estimation!X$32:X$64)</f>
        <v>0</v>
      </c>
      <c r="U36" s="39"/>
      <c r="V36" s="40">
        <f>SUMIF(Estimation!$A$32:$A$64,$C36,Estimation!Z$32:Z$64)</f>
        <v>0</v>
      </c>
      <c r="W36" s="39"/>
      <c r="X36" s="40">
        <f>SUMIF(Estimation!$A$32:$A$64,$C36,Estimation!AB$32:AB$64)</f>
        <v>0</v>
      </c>
      <c r="Y36" s="39"/>
      <c r="Z36" s="40">
        <f t="shared" si="0"/>
        <v>0</v>
      </c>
      <c r="AA36" s="39"/>
      <c r="AB36" s="29"/>
    </row>
    <row r="37" spans="2:28" outlineLevel="1" x14ac:dyDescent="0.25">
      <c r="C37" s="148" t="str">
        <f>Hidden_Lookups!$A$4</f>
        <v>Hourly</v>
      </c>
      <c r="E37" s="39"/>
      <c r="F37" s="40">
        <f>SUMIF(Estimation!$A$32:$A$64,$C37,Estimation!J$32:J$64)</f>
        <v>0</v>
      </c>
      <c r="G37" s="39"/>
      <c r="H37" s="40">
        <f>SUMIF(Estimation!$A$32:$A$64,$C37,Estimation!L$32:L$64)</f>
        <v>0</v>
      </c>
      <c r="I37" s="39"/>
      <c r="J37" s="40">
        <f>SUMIF(Estimation!$A$32:$A$64,$C37,Estimation!N$32:N$64)</f>
        <v>0</v>
      </c>
      <c r="K37" s="39"/>
      <c r="L37" s="40">
        <f>SUMIF(Estimation!$A$32:$A$64,$C37,Estimation!P$32:P$64)</f>
        <v>0</v>
      </c>
      <c r="M37" s="39"/>
      <c r="N37" s="40">
        <f>SUMIF(Estimation!$A$32:$A$64,$C37,Estimation!R$32:R$64)</f>
        <v>0</v>
      </c>
      <c r="O37" s="39"/>
      <c r="P37" s="40">
        <f>SUMIF(Estimation!$A$32:$A$64,$C37,Estimation!T$32:T$64)</f>
        <v>0</v>
      </c>
      <c r="Q37" s="39"/>
      <c r="R37" s="40">
        <f>SUMIF(Estimation!$A$32:$A$64,$C37,Estimation!V$32:V$64)</f>
        <v>0</v>
      </c>
      <c r="S37" s="39"/>
      <c r="T37" s="40">
        <f>SUMIF(Estimation!$A$32:$A$64,$C37,Estimation!X$32:X$64)</f>
        <v>0</v>
      </c>
      <c r="U37" s="39"/>
      <c r="V37" s="40">
        <f>SUMIF(Estimation!$A$32:$A$64,$C37,Estimation!Z$32:Z$64)</f>
        <v>0</v>
      </c>
      <c r="W37" s="39"/>
      <c r="X37" s="40">
        <f>SUMIF(Estimation!$A$32:$A$64,$C37,Estimation!AB$32:AB$64)</f>
        <v>0</v>
      </c>
      <c r="Y37" s="39"/>
      <c r="Z37" s="40">
        <f t="shared" si="0"/>
        <v>0</v>
      </c>
      <c r="AA37" s="39"/>
      <c r="AB37" s="29"/>
    </row>
    <row r="38" spans="2:28" ht="9.4" customHeight="1" x14ac:dyDescent="0.25">
      <c r="B38" s="41"/>
      <c r="C38" s="41"/>
      <c r="E38" s="147"/>
      <c r="F38" s="71"/>
      <c r="G38" s="147"/>
      <c r="H38" s="71"/>
      <c r="I38" s="147"/>
      <c r="J38" s="71"/>
      <c r="K38" s="147"/>
      <c r="L38" s="71"/>
      <c r="M38" s="147"/>
      <c r="N38" s="71"/>
      <c r="O38" s="147"/>
      <c r="P38" s="71"/>
      <c r="Q38" s="147"/>
      <c r="R38" s="71"/>
      <c r="S38" s="147"/>
      <c r="T38" s="71"/>
      <c r="U38" s="147"/>
      <c r="V38" s="71"/>
      <c r="W38" s="147"/>
      <c r="X38" s="71"/>
      <c r="Y38" s="147"/>
      <c r="Z38" s="71"/>
      <c r="AA38" s="147"/>
      <c r="AB38" s="29"/>
    </row>
    <row r="39" spans="2:28" x14ac:dyDescent="0.25">
      <c r="B39" s="41"/>
      <c r="C39" s="41"/>
      <c r="D39" s="158" t="s">
        <v>4</v>
      </c>
      <c r="E39" s="145"/>
      <c r="F39" s="40">
        <f>F27+F16</f>
        <v>0</v>
      </c>
      <c r="G39" s="145"/>
      <c r="H39" s="40">
        <f>H27+H16</f>
        <v>0</v>
      </c>
      <c r="I39" s="145"/>
      <c r="J39" s="40">
        <f>J27+J16</f>
        <v>0</v>
      </c>
      <c r="K39" s="145"/>
      <c r="L39" s="40">
        <f>L27+L16</f>
        <v>0</v>
      </c>
      <c r="M39" s="145"/>
      <c r="N39" s="40">
        <f>N27+N16</f>
        <v>0</v>
      </c>
      <c r="O39" s="145"/>
      <c r="P39" s="40">
        <f>P27+P16</f>
        <v>0</v>
      </c>
      <c r="Q39" s="145"/>
      <c r="R39" s="40">
        <f>R27+R16</f>
        <v>0</v>
      </c>
      <c r="S39" s="145"/>
      <c r="T39" s="40">
        <f>T27+T16</f>
        <v>0</v>
      </c>
      <c r="U39" s="145"/>
      <c r="V39" s="40">
        <f>V27+V16</f>
        <v>0</v>
      </c>
      <c r="W39" s="145"/>
      <c r="X39" s="40">
        <f>X27+X16</f>
        <v>0</v>
      </c>
      <c r="Y39" s="145"/>
      <c r="Z39" s="40">
        <f>SUM(F39:X39)</f>
        <v>0</v>
      </c>
      <c r="AA39" s="145"/>
      <c r="AB39" s="29"/>
    </row>
    <row r="40" spans="2:28" x14ac:dyDescent="0.25">
      <c r="B40" s="41"/>
      <c r="C40" s="41"/>
      <c r="D40" s="158"/>
      <c r="E40" s="145"/>
      <c r="F40" s="40"/>
      <c r="G40" s="145"/>
      <c r="H40" s="40"/>
      <c r="I40" s="145"/>
      <c r="J40" s="40"/>
      <c r="K40" s="145"/>
      <c r="L40" s="40"/>
      <c r="M40" s="145"/>
      <c r="N40" s="40"/>
      <c r="O40" s="145"/>
      <c r="P40" s="40"/>
      <c r="Q40" s="145"/>
      <c r="R40" s="40"/>
      <c r="S40" s="145"/>
      <c r="T40" s="40"/>
      <c r="U40" s="145"/>
      <c r="V40" s="40"/>
      <c r="W40" s="145"/>
      <c r="X40" s="40"/>
      <c r="Y40" s="145"/>
      <c r="Z40" s="40"/>
      <c r="AA40" s="145"/>
      <c r="AB40" s="29"/>
    </row>
    <row r="41" spans="2:28" x14ac:dyDescent="0.25">
      <c r="B41" s="42" t="s">
        <v>223</v>
      </c>
      <c r="C41" s="42"/>
      <c r="D41" s="42"/>
      <c r="E41" s="145"/>
      <c r="F41" s="40"/>
      <c r="G41" s="145"/>
      <c r="H41" s="40"/>
      <c r="I41" s="145"/>
      <c r="J41" s="40"/>
      <c r="K41" s="145"/>
      <c r="L41" s="40"/>
      <c r="M41" s="145"/>
      <c r="N41" s="40"/>
      <c r="O41" s="145"/>
      <c r="P41" s="40"/>
      <c r="Q41" s="145"/>
      <c r="R41" s="40"/>
      <c r="S41" s="145"/>
      <c r="T41" s="40"/>
      <c r="U41" s="145"/>
      <c r="V41" s="40"/>
      <c r="W41" s="145"/>
      <c r="X41" s="40"/>
      <c r="Y41" s="145"/>
      <c r="Z41" s="40"/>
      <c r="AA41" s="145"/>
      <c r="AB41" s="29"/>
    </row>
    <row r="42" spans="2:28" outlineLevel="1" x14ac:dyDescent="0.25">
      <c r="C42" s="148" t="str">
        <f>Hidden_Lookups!$A$10</f>
        <v>Regular Faculty</v>
      </c>
      <c r="E42" s="145"/>
      <c r="F42" s="40">
        <f>SUMIF(Estimation!$A$69:$A$86,$C42,Estimation!J$69:J$86)</f>
        <v>0</v>
      </c>
      <c r="G42" s="145"/>
      <c r="H42" s="40">
        <f>SUMIF(Estimation!$A$69:$A$86,$C42,Estimation!L$69:L$86)</f>
        <v>0</v>
      </c>
      <c r="I42" s="145"/>
      <c r="J42" s="40">
        <f>SUMIF(Estimation!$A$69:$A$86,$C42,Estimation!N$69:N$86)</f>
        <v>0</v>
      </c>
      <c r="K42" s="145"/>
      <c r="L42" s="40">
        <f>SUMIF(Estimation!$A$69:$A$86,$C42,Estimation!P$69:P$86)</f>
        <v>0</v>
      </c>
      <c r="M42" s="145"/>
      <c r="N42" s="40">
        <f>SUMIF(Estimation!$A$69:$A$86,$C42,Estimation!R$69:R$86)</f>
        <v>0</v>
      </c>
      <c r="O42" s="145"/>
      <c r="P42" s="40">
        <f>SUMIF(Estimation!$A$69:$A$86,$C42,Estimation!T$69:T$86)</f>
        <v>0</v>
      </c>
      <c r="Q42" s="145"/>
      <c r="R42" s="40">
        <f>SUMIF(Estimation!$A$69:$A$86,$C42,Estimation!V$69:V$86)</f>
        <v>0</v>
      </c>
      <c r="S42" s="145"/>
      <c r="T42" s="40">
        <f>SUMIF(Estimation!$A$69:$A$86,$C42,Estimation!X$69:X$86)</f>
        <v>0</v>
      </c>
      <c r="U42" s="145"/>
      <c r="V42" s="40">
        <f>SUMIF(Estimation!$A$69:$A$86,$C42,Estimation!Z$69:Z$86)</f>
        <v>0</v>
      </c>
      <c r="W42" s="145"/>
      <c r="X42" s="40">
        <f>SUMIF(Estimation!$A$69:$A$86,$C42,Estimation!AB$69:AB$86)</f>
        <v>0</v>
      </c>
      <c r="Y42" s="145"/>
      <c r="Z42" s="40">
        <f>SUM(F42:X42)</f>
        <v>0</v>
      </c>
      <c r="AA42" s="145"/>
      <c r="AB42" s="29"/>
    </row>
    <row r="43" spans="2:28" outlineLevel="1" x14ac:dyDescent="0.25">
      <c r="C43" s="148" t="s">
        <v>356</v>
      </c>
      <c r="E43" s="145"/>
      <c r="F43" s="40">
        <f>SUMIF(Estimation!$A$69:$A$86,$C43,Estimation!J$69:J$86)</f>
        <v>0</v>
      </c>
      <c r="G43" s="145"/>
      <c r="H43" s="40">
        <f>SUMIF(Estimation!$A$69:$A$86,$C43,Estimation!L$69:L$86)</f>
        <v>0</v>
      </c>
      <c r="I43" s="145"/>
      <c r="J43" s="40">
        <f>SUMIF(Estimation!$A$69:$A$86,$C43,Estimation!N$69:N$86)</f>
        <v>0</v>
      </c>
      <c r="K43" s="145"/>
      <c r="L43" s="40">
        <f>SUMIF(Estimation!$A$69:$A$86,$C43,Estimation!P$69:P$86)</f>
        <v>0</v>
      </c>
      <c r="M43" s="145"/>
      <c r="N43" s="40">
        <f>SUMIF(Estimation!$A$69:$A$86,$C43,Estimation!R$69:R$86)</f>
        <v>0</v>
      </c>
      <c r="O43" s="145"/>
      <c r="P43" s="40"/>
      <c r="Q43" s="145"/>
      <c r="R43" s="40"/>
      <c r="S43" s="145"/>
      <c r="T43" s="40"/>
      <c r="U43" s="145"/>
      <c r="V43" s="40"/>
      <c r="W43" s="145"/>
      <c r="X43" s="40"/>
      <c r="Y43" s="145"/>
      <c r="Z43" s="40">
        <f>SUM(F43:X43)</f>
        <v>0</v>
      </c>
      <c r="AA43" s="145"/>
      <c r="AB43" s="29"/>
    </row>
    <row r="44" spans="2:28" outlineLevel="1" x14ac:dyDescent="0.25">
      <c r="C44" s="148" t="str">
        <f>Hidden_Lookups!$A$11</f>
        <v>Research Associate</v>
      </c>
      <c r="E44" s="145"/>
      <c r="F44" s="40">
        <f>SUMIF(Estimation!$A$69:$A$86,$C44,Estimation!J$69:J$86)</f>
        <v>0</v>
      </c>
      <c r="G44" s="145"/>
      <c r="H44" s="40">
        <f>SUMIF(Estimation!$A$69:$A$86,$C44,Estimation!L$69:L$86)</f>
        <v>0</v>
      </c>
      <c r="I44" s="145"/>
      <c r="J44" s="40">
        <f>SUMIF(Estimation!$A$69:$A$86,$C44,Estimation!N$69:N$86)</f>
        <v>0</v>
      </c>
      <c r="K44" s="145"/>
      <c r="L44" s="40">
        <f>SUMIF(Estimation!$A$69:$A$86,$C44,Estimation!P$69:P$86)</f>
        <v>0</v>
      </c>
      <c r="M44" s="145"/>
      <c r="N44" s="40">
        <f>SUMIF(Estimation!$A$69:$A$86,$C44,Estimation!R$69:R$86)</f>
        <v>0</v>
      </c>
      <c r="O44" s="145"/>
      <c r="P44" s="40">
        <f>SUMIF(Estimation!$A$69:$A$86,$C44,Estimation!T$69:T$86)</f>
        <v>0</v>
      </c>
      <c r="Q44" s="145"/>
      <c r="R44" s="40">
        <f>SUMIF(Estimation!$A$69:$A$86,$C44,Estimation!V$69:V$86)</f>
        <v>0</v>
      </c>
      <c r="S44" s="145"/>
      <c r="T44" s="40">
        <f>SUMIF(Estimation!$A$69:$A$86,$C44,Estimation!X$69:X$86)</f>
        <v>0</v>
      </c>
      <c r="U44" s="145"/>
      <c r="V44" s="40">
        <f>SUMIF(Estimation!$A$69:$A$86,$C44,Estimation!Z$69:Z$86)</f>
        <v>0</v>
      </c>
      <c r="W44" s="145"/>
      <c r="X44" s="40">
        <f>SUMIF(Estimation!$A$69:$A$86,$C44,Estimation!AB$69:AB$86)</f>
        <v>0</v>
      </c>
      <c r="Y44" s="145"/>
      <c r="Z44" s="40">
        <f>SUM(F44:X44)</f>
        <v>0</v>
      </c>
      <c r="AA44" s="145"/>
      <c r="AB44" s="29"/>
    </row>
    <row r="45" spans="2:28" outlineLevel="1" x14ac:dyDescent="0.25">
      <c r="C45" s="148" t="str">
        <f>Hidden_Lookups!$A$7</f>
        <v>Post Doctoral Associate</v>
      </c>
      <c r="E45" s="145"/>
      <c r="F45" s="40">
        <f>SUMIF(Estimation!$A$69:$A$86,$C45,Estimation!J$69:J$86)</f>
        <v>0</v>
      </c>
      <c r="G45" s="145"/>
      <c r="H45" s="40">
        <f>SUMIF(Estimation!$A$69:$A$86,$C45,Estimation!L$69:L$86)</f>
        <v>0</v>
      </c>
      <c r="I45" s="145"/>
      <c r="J45" s="40">
        <f>SUMIF(Estimation!$A$69:$A$86,$C45,Estimation!N$69:N$86)</f>
        <v>0</v>
      </c>
      <c r="K45" s="145"/>
      <c r="L45" s="40">
        <f>SUMIF(Estimation!$A$69:$A$86,$C45,Estimation!P$69:P$86)</f>
        <v>0</v>
      </c>
      <c r="M45" s="145"/>
      <c r="N45" s="40">
        <f>SUMIF(Estimation!$A$69:$A$86,$C45,Estimation!R$69:R$86)</f>
        <v>0</v>
      </c>
      <c r="O45" s="145"/>
      <c r="P45" s="40">
        <f>SUMIF(Estimation!$A$69:$A$86,$C45,Estimation!T$69:T$86)</f>
        <v>0</v>
      </c>
      <c r="Q45" s="145"/>
      <c r="R45" s="40">
        <f>SUMIF(Estimation!$A$69:$A$86,$C45,Estimation!V$69:V$86)</f>
        <v>0</v>
      </c>
      <c r="S45" s="145"/>
      <c r="T45" s="40">
        <f>SUMIF(Estimation!$A$69:$A$86,$C45,Estimation!X$69:X$86)</f>
        <v>0</v>
      </c>
      <c r="U45" s="145"/>
      <c r="V45" s="40">
        <f>SUMIF(Estimation!$A$69:$A$86,$C45,Estimation!Z$69:Z$86)</f>
        <v>0</v>
      </c>
      <c r="W45" s="145"/>
      <c r="X45" s="40">
        <f>SUMIF(Estimation!$A$69:$A$86,$C45,Estimation!AB$69:AB$86)</f>
        <v>0</v>
      </c>
      <c r="Y45" s="145"/>
      <c r="Z45" s="40">
        <f>SUM(F45:X45)</f>
        <v>0</v>
      </c>
      <c r="AA45" s="145"/>
      <c r="AB45" s="29"/>
    </row>
    <row r="46" spans="2:28" outlineLevel="1" x14ac:dyDescent="0.25">
      <c r="C46" s="148" t="str">
        <f>Hidden_Lookups!A8</f>
        <v>Pre/Post Doctoral Stipend</v>
      </c>
      <c r="E46" s="145"/>
      <c r="F46" s="40">
        <f>SUMIF(Estimation!$A$69:$A$86,$C46,Estimation!J$69:J$86)</f>
        <v>0</v>
      </c>
      <c r="G46" s="145"/>
      <c r="H46" s="40">
        <f>SUMIF(Estimation!$A$69:$A$86,$C46,Estimation!L$69:L$86)</f>
        <v>0</v>
      </c>
      <c r="I46" s="145"/>
      <c r="J46" s="40">
        <f>SUMIF(Estimation!$A$69:$A$86,$C46,Estimation!N$69:N$86)</f>
        <v>0</v>
      </c>
      <c r="K46" s="145"/>
      <c r="L46" s="40">
        <f>SUMIF(Estimation!$A$69:$A$86,$C46,Estimation!P$69:P$86)</f>
        <v>0</v>
      </c>
      <c r="M46" s="145"/>
      <c r="N46" s="40">
        <f>SUMIF(Estimation!$A$69:$A$86,$C46,Estimation!R$69:R$86)</f>
        <v>0</v>
      </c>
      <c r="O46" s="145"/>
      <c r="P46" s="40">
        <f>SUMIF(Estimation!$A$69:$A$86,$C46,Estimation!T$69:T$86)</f>
        <v>0</v>
      </c>
      <c r="Q46" s="145"/>
      <c r="R46" s="40">
        <f>SUMIF(Estimation!$A$69:$A$86,$C46,Estimation!V$69:V$86)</f>
        <v>0</v>
      </c>
      <c r="S46" s="145"/>
      <c r="T46" s="40">
        <f>SUMIF(Estimation!$A$69:$A$86,$C46,Estimation!X$69:X$86)</f>
        <v>0</v>
      </c>
      <c r="U46" s="145"/>
      <c r="V46" s="40">
        <f>SUMIF(Estimation!$A$69:$A$86,$C46,Estimation!Z$69:Z$86)</f>
        <v>0</v>
      </c>
      <c r="W46" s="145"/>
      <c r="X46" s="40">
        <f>SUMIF(Estimation!$A$69:$A$86,$C46,Estimation!AB$69:AB$86)</f>
        <v>0</v>
      </c>
      <c r="Y46" s="145"/>
      <c r="Z46" s="40">
        <f t="shared" ref="Z46:Z52" si="1">SUM(F46:X46)</f>
        <v>0</v>
      </c>
      <c r="AA46" s="145"/>
      <c r="AB46" s="29"/>
    </row>
    <row r="47" spans="2:28" outlineLevel="1" x14ac:dyDescent="0.25">
      <c r="C47" s="148" t="str">
        <f>Hidden_Lookups!$A$9</f>
        <v>Professional Research Assistant</v>
      </c>
      <c r="E47" s="145"/>
      <c r="F47" s="40">
        <f>SUMIF(Estimation!$A$69:$A$86,$C47,Estimation!J$69:J$86)</f>
        <v>0</v>
      </c>
      <c r="G47" s="145"/>
      <c r="H47" s="40">
        <f>SUMIF(Estimation!$A$69:$A$86,$C47,Estimation!L$69:L$86)</f>
        <v>0</v>
      </c>
      <c r="I47" s="145"/>
      <c r="J47" s="40">
        <f>SUMIF(Estimation!$A$69:$A$86,$C47,Estimation!N$69:N$86)</f>
        <v>0</v>
      </c>
      <c r="K47" s="145"/>
      <c r="L47" s="40">
        <f>SUMIF(Estimation!$A$69:$A$86,$C47,Estimation!P$69:P$86)</f>
        <v>0</v>
      </c>
      <c r="M47" s="145"/>
      <c r="N47" s="40">
        <f>SUMIF(Estimation!$A$69:$A$86,$C47,Estimation!R$69:R$86)</f>
        <v>0</v>
      </c>
      <c r="O47" s="145"/>
      <c r="P47" s="40">
        <f>SUMIF(Estimation!$A$69:$A$86,$C47,Estimation!T$69:T$86)</f>
        <v>0</v>
      </c>
      <c r="Q47" s="145"/>
      <c r="R47" s="40">
        <f>SUMIF(Estimation!$A$69:$A$86,$C47,Estimation!V$69:V$86)</f>
        <v>0</v>
      </c>
      <c r="S47" s="145"/>
      <c r="T47" s="40">
        <f>SUMIF(Estimation!$A$69:$A$86,$C47,Estimation!X$69:X$86)</f>
        <v>0</v>
      </c>
      <c r="U47" s="145"/>
      <c r="V47" s="40">
        <f>SUMIF(Estimation!$A$69:$A$86,$C47,Estimation!Z$69:Z$86)</f>
        <v>0</v>
      </c>
      <c r="W47" s="145"/>
      <c r="X47" s="40">
        <f>SUMIF(Estimation!$A$69:$A$86,$C47,Estimation!AB$69:AB$86)</f>
        <v>0</v>
      </c>
      <c r="Y47" s="145"/>
      <c r="Z47" s="40">
        <f t="shared" si="1"/>
        <v>0</v>
      </c>
      <c r="AA47" s="145"/>
      <c r="AB47" s="29"/>
    </row>
    <row r="48" spans="2:28" outlineLevel="1" x14ac:dyDescent="0.25">
      <c r="C48" s="148" t="str">
        <f>Hidden_Lookups!$A$2</f>
        <v>Administrative Assistant</v>
      </c>
      <c r="E48" s="145"/>
      <c r="F48" s="40">
        <f>SUMIF(Estimation!$A$69:$A$86,$C48,Estimation!J$69:J$86)</f>
        <v>0</v>
      </c>
      <c r="G48" s="145"/>
      <c r="H48" s="40">
        <f>SUMIF(Estimation!$A$69:$A$86,$C48,Estimation!L$69:L$86)</f>
        <v>0</v>
      </c>
      <c r="I48" s="145"/>
      <c r="J48" s="40">
        <f>SUMIF(Estimation!$A$69:$A$86,$C48,Estimation!N$69:N$86)</f>
        <v>0</v>
      </c>
      <c r="K48" s="145"/>
      <c r="L48" s="40">
        <f>SUMIF(Estimation!$A$69:$A$86,$C48,Estimation!P$69:P$86)</f>
        <v>0</v>
      </c>
      <c r="M48" s="145"/>
      <c r="N48" s="40">
        <f>SUMIF(Estimation!$A$69:$A$86,$C48,Estimation!R$69:R$86)</f>
        <v>0</v>
      </c>
      <c r="O48" s="145"/>
      <c r="P48" s="40">
        <f>SUMIF(Estimation!$A$69:$A$86,$C48,Estimation!T$69:T$86)</f>
        <v>0</v>
      </c>
      <c r="Q48" s="145"/>
      <c r="R48" s="40">
        <f>SUMIF(Estimation!$A$69:$A$86,$C48,Estimation!V$69:V$86)</f>
        <v>0</v>
      </c>
      <c r="S48" s="145"/>
      <c r="T48" s="40">
        <f>SUMIF(Estimation!$A$69:$A$86,$C48,Estimation!X$69:X$86)</f>
        <v>0</v>
      </c>
      <c r="U48" s="145"/>
      <c r="V48" s="40">
        <f>SUMIF(Estimation!$A$69:$A$86,$C48,Estimation!Z$69:Z$86)</f>
        <v>0</v>
      </c>
      <c r="W48" s="145"/>
      <c r="X48" s="40">
        <f>SUMIF(Estimation!$A$69:$A$86,$C48,Estimation!AB$69:AB$86)</f>
        <v>0</v>
      </c>
      <c r="Y48" s="145"/>
      <c r="Z48" s="40">
        <f t="shared" si="1"/>
        <v>0</v>
      </c>
      <c r="AA48" s="145"/>
      <c r="AB48" s="29"/>
    </row>
    <row r="49" spans="2:28" outlineLevel="1" x14ac:dyDescent="0.25">
      <c r="C49" s="148" t="str">
        <f>Hidden_Lookups!$A$5</f>
        <v>OEP F/T or Classified Perm</v>
      </c>
      <c r="E49" s="145"/>
      <c r="F49" s="40">
        <f>SUMIF(Estimation!$A$69:$A$86,$C49,Estimation!J$69:J$86)</f>
        <v>0</v>
      </c>
      <c r="G49" s="145"/>
      <c r="H49" s="40">
        <f>SUMIF(Estimation!$A$69:$A$86,$C49,Estimation!L$69:L$86)</f>
        <v>0</v>
      </c>
      <c r="I49" s="145"/>
      <c r="J49" s="40">
        <f>SUMIF(Estimation!$A$69:$A$86,$C49,Estimation!N$69:N$86)</f>
        <v>0</v>
      </c>
      <c r="K49" s="145"/>
      <c r="L49" s="40">
        <f>SUMIF(Estimation!$A$69:$A$86,$C49,Estimation!P$69:P$86)</f>
        <v>0</v>
      </c>
      <c r="M49" s="145"/>
      <c r="N49" s="40">
        <f>SUMIF(Estimation!$A$69:$A$86,$C49,Estimation!R$69:R$86)</f>
        <v>0</v>
      </c>
      <c r="O49" s="145"/>
      <c r="P49" s="40">
        <f>SUMIF(Estimation!$A$69:$A$86,$C49,Estimation!T$69:T$86)</f>
        <v>0</v>
      </c>
      <c r="Q49" s="145"/>
      <c r="R49" s="40">
        <f>SUMIF(Estimation!$A$69:$A$86,$C49,Estimation!V$69:V$86)</f>
        <v>0</v>
      </c>
      <c r="S49" s="145"/>
      <c r="T49" s="40">
        <f>SUMIF(Estimation!$A$69:$A$86,$C49,Estimation!X$69:X$86)</f>
        <v>0</v>
      </c>
      <c r="U49" s="145"/>
      <c r="V49" s="40">
        <f>SUMIF(Estimation!$A$69:$A$86,$C49,Estimation!Z$69:Z$86)</f>
        <v>0</v>
      </c>
      <c r="W49" s="145"/>
      <c r="X49" s="40">
        <f>SUMIF(Estimation!$A$69:$A$86,$C49,Estimation!AB$69:AB$86)</f>
        <v>0</v>
      </c>
      <c r="Y49" s="145"/>
      <c r="Z49" s="40">
        <f t="shared" si="1"/>
        <v>0</v>
      </c>
      <c r="AA49" s="145"/>
      <c r="AB49" s="29"/>
    </row>
    <row r="50" spans="2:28" outlineLevel="1" x14ac:dyDescent="0.25">
      <c r="C50" s="148" t="str">
        <f>Hidden_Lookups!$A$6</f>
        <v>OEP P/T or Classified Temp</v>
      </c>
      <c r="E50" s="145"/>
      <c r="F50" s="40">
        <f>SUMIF(Estimation!$A$69:$A$86,$C50,Estimation!J$69:J$86)</f>
        <v>0</v>
      </c>
      <c r="G50" s="145"/>
      <c r="H50" s="40">
        <f>SUMIF(Estimation!$A$69:$A$86,$C50,Estimation!L$69:L$86)</f>
        <v>0</v>
      </c>
      <c r="I50" s="145"/>
      <c r="J50" s="40">
        <f>SUMIF(Estimation!$A$69:$A$86,$C50,Estimation!N$69:N$86)</f>
        <v>0</v>
      </c>
      <c r="K50" s="145"/>
      <c r="L50" s="40">
        <f>SUMIF(Estimation!$A$69:$A$86,$C50,Estimation!P$69:P$86)</f>
        <v>0</v>
      </c>
      <c r="M50" s="145"/>
      <c r="N50" s="40">
        <f>SUMIF(Estimation!$A$69:$A$86,$C50,Estimation!R$69:R$86)</f>
        <v>0</v>
      </c>
      <c r="O50" s="145"/>
      <c r="P50" s="40">
        <f>SUMIF(Estimation!$A$69:$A$86,$C50,Estimation!T$69:T$86)</f>
        <v>0</v>
      </c>
      <c r="Q50" s="145"/>
      <c r="R50" s="40">
        <f>SUMIF(Estimation!$A$69:$A$86,$C50,Estimation!V$69:V$86)</f>
        <v>0</v>
      </c>
      <c r="S50" s="145"/>
      <c r="T50" s="40">
        <f>SUMIF(Estimation!$A$69:$A$86,$C50,Estimation!X$69:X$86)</f>
        <v>0</v>
      </c>
      <c r="U50" s="145"/>
      <c r="V50" s="40">
        <f>SUMIF(Estimation!$A$69:$A$86,$C50,Estimation!Z$69:Z$86)</f>
        <v>0</v>
      </c>
      <c r="W50" s="145"/>
      <c r="X50" s="40">
        <f>SUMIF(Estimation!$A$69:$A$86,$C50,Estimation!AB$69:AB$86)</f>
        <v>0</v>
      </c>
      <c r="Y50" s="145"/>
      <c r="Z50" s="40">
        <f t="shared" si="1"/>
        <v>0</v>
      </c>
      <c r="AA50" s="145"/>
      <c r="AB50" s="29"/>
    </row>
    <row r="51" spans="2:28" outlineLevel="1" x14ac:dyDescent="0.25">
      <c r="C51" s="148" t="str">
        <f>Hidden_Lookups!$A$3</f>
        <v>Graduate Research Assistant</v>
      </c>
      <c r="E51" s="145"/>
      <c r="F51" s="40">
        <f>SUMIF(Estimation!$A$69:$A$86,$C51,Estimation!J$69:J$86)</f>
        <v>0</v>
      </c>
      <c r="G51" s="145"/>
      <c r="H51" s="40">
        <f>SUMIF(Estimation!$A$69:$A$86,$C51,Estimation!L$69:L$86)</f>
        <v>0</v>
      </c>
      <c r="I51" s="145"/>
      <c r="J51" s="40">
        <f>SUMIF(Estimation!$A$69:$A$86,$C51,Estimation!N$69:N$86)</f>
        <v>0</v>
      </c>
      <c r="K51" s="145"/>
      <c r="L51" s="40">
        <f>SUMIF(Estimation!$A$69:$A$86,$C51,Estimation!P$69:P$86)</f>
        <v>0</v>
      </c>
      <c r="M51" s="145"/>
      <c r="N51" s="40">
        <f>SUMIF(Estimation!$A$69:$A$86,$C51,Estimation!R$69:R$86)</f>
        <v>0</v>
      </c>
      <c r="O51" s="145"/>
      <c r="P51" s="40">
        <f>SUMIF(Estimation!$A$69:$A$86,$C51,Estimation!T$69:T$86)</f>
        <v>0</v>
      </c>
      <c r="Q51" s="145"/>
      <c r="R51" s="40">
        <f>SUMIF(Estimation!$A$69:$A$86,$C51,Estimation!V$69:V$86)</f>
        <v>0</v>
      </c>
      <c r="S51" s="145"/>
      <c r="T51" s="40">
        <f>SUMIF(Estimation!$A$69:$A$86,$C51,Estimation!X$69:X$86)</f>
        <v>0</v>
      </c>
      <c r="U51" s="145"/>
      <c r="V51" s="40">
        <f>SUMIF(Estimation!$A$69:$A$86,$C51,Estimation!Z$69:Z$86)</f>
        <v>0</v>
      </c>
      <c r="W51" s="145"/>
      <c r="X51" s="40">
        <f>SUMIF(Estimation!$A$69:$A$86,$C51,Estimation!AB$69:AB$86)</f>
        <v>0</v>
      </c>
      <c r="Y51" s="145"/>
      <c r="Z51" s="40">
        <f t="shared" si="1"/>
        <v>0</v>
      </c>
      <c r="AA51" s="145"/>
      <c r="AB51" s="29"/>
    </row>
    <row r="52" spans="2:28" outlineLevel="1" x14ac:dyDescent="0.25">
      <c r="C52" s="148" t="str">
        <f>Hidden_Lookups!$A$4</f>
        <v>Hourly</v>
      </c>
      <c r="E52" s="145"/>
      <c r="F52" s="40">
        <f>SUMIF(Estimation!$A$69:$A$86,$C52,Estimation!J$69:J$86)</f>
        <v>0</v>
      </c>
      <c r="G52" s="145"/>
      <c r="H52" s="40">
        <f>SUMIF(Estimation!$A$69:$A$86,$C52,Estimation!L$69:L$86)</f>
        <v>0</v>
      </c>
      <c r="I52" s="145"/>
      <c r="J52" s="40">
        <f>SUMIF(Estimation!$A$69:$A$86,$C52,Estimation!N$69:N$86)</f>
        <v>0</v>
      </c>
      <c r="K52" s="145"/>
      <c r="L52" s="40">
        <f>SUMIF(Estimation!$A$69:$A$86,$C52,Estimation!P$69:P$86)</f>
        <v>0</v>
      </c>
      <c r="M52" s="145"/>
      <c r="N52" s="40">
        <f>SUMIF(Estimation!$A$69:$A$86,$C52,Estimation!R$69:R$86)</f>
        <v>0</v>
      </c>
      <c r="O52" s="145"/>
      <c r="P52" s="40">
        <f>SUMIF(Estimation!$A$69:$A$86,$C52,Estimation!T$69:T$86)</f>
        <v>0</v>
      </c>
      <c r="Q52" s="145"/>
      <c r="R52" s="40">
        <f>SUMIF(Estimation!$A$69:$A$86,$C52,Estimation!V$69:V$86)</f>
        <v>0</v>
      </c>
      <c r="S52" s="145"/>
      <c r="T52" s="40">
        <f>SUMIF(Estimation!$A$69:$A$86,$C52,Estimation!X$69:X$86)</f>
        <v>0</v>
      </c>
      <c r="U52" s="145"/>
      <c r="V52" s="40">
        <f>SUMIF(Estimation!$A$69:$A$86,$C52,Estimation!Z$69:Z$86)</f>
        <v>0</v>
      </c>
      <c r="W52" s="145"/>
      <c r="X52" s="40">
        <f>SUMIF(Estimation!$A$69:$A$86,$C52,Estimation!AB$69:AB$86)</f>
        <v>0</v>
      </c>
      <c r="Y52" s="145"/>
      <c r="Z52" s="40">
        <f t="shared" si="1"/>
        <v>0</v>
      </c>
      <c r="AA52" s="145"/>
      <c r="AB52" s="29"/>
    </row>
    <row r="53" spans="2:28" ht="7.5" customHeight="1" x14ac:dyDescent="0.25">
      <c r="C53" s="41"/>
      <c r="E53" s="146"/>
      <c r="F53" s="71"/>
      <c r="G53" s="146"/>
      <c r="H53" s="71"/>
      <c r="I53" s="146"/>
      <c r="J53" s="71"/>
      <c r="K53" s="146"/>
      <c r="L53" s="71"/>
      <c r="M53" s="146"/>
      <c r="N53" s="71"/>
      <c r="O53" s="146"/>
      <c r="P53" s="71"/>
      <c r="Q53" s="146"/>
      <c r="R53" s="71"/>
      <c r="S53" s="146"/>
      <c r="T53" s="71"/>
      <c r="U53" s="146"/>
      <c r="V53" s="71"/>
      <c r="W53" s="146"/>
      <c r="X53" s="71"/>
      <c r="Y53" s="146"/>
      <c r="Z53" s="71"/>
      <c r="AA53" s="146"/>
      <c r="AB53" s="29"/>
    </row>
    <row r="54" spans="2:28" x14ac:dyDescent="0.25">
      <c r="B54" s="41"/>
      <c r="C54" s="41"/>
      <c r="D54" s="158" t="s">
        <v>7</v>
      </c>
      <c r="E54" s="145"/>
      <c r="F54" s="40">
        <f>SUM(F42:F52)</f>
        <v>0</v>
      </c>
      <c r="G54" s="145"/>
      <c r="H54" s="40">
        <f>SUM(H42:H52)</f>
        <v>0</v>
      </c>
      <c r="I54" s="145"/>
      <c r="J54" s="40">
        <f>SUM(J42:J52)</f>
        <v>0</v>
      </c>
      <c r="K54" s="145"/>
      <c r="L54" s="40">
        <f>SUM(L42:L52)</f>
        <v>0</v>
      </c>
      <c r="M54" s="145"/>
      <c r="N54" s="40">
        <f>SUM(N42:N52)</f>
        <v>0</v>
      </c>
      <c r="O54" s="145"/>
      <c r="P54" s="40">
        <f>SUM(P42:P52)</f>
        <v>0</v>
      </c>
      <c r="Q54" s="145"/>
      <c r="R54" s="40">
        <f>SUM(R42:R52)</f>
        <v>0</v>
      </c>
      <c r="S54" s="145"/>
      <c r="T54" s="40">
        <f>SUM(T42:T52)</f>
        <v>0</v>
      </c>
      <c r="U54" s="145"/>
      <c r="V54" s="40">
        <f>SUM(V42:V52)</f>
        <v>0</v>
      </c>
      <c r="W54" s="145"/>
      <c r="X54" s="40">
        <f>SUM(X42:X52)</f>
        <v>0</v>
      </c>
      <c r="Y54" s="145"/>
      <c r="Z54" s="40">
        <f>SUM(F54:X54)</f>
        <v>0</v>
      </c>
      <c r="AA54" s="145"/>
      <c r="AB54" s="29"/>
    </row>
    <row r="55" spans="2:28" x14ac:dyDescent="0.25">
      <c r="B55" s="41"/>
      <c r="C55" s="41"/>
      <c r="D55" s="144"/>
      <c r="E55" s="145"/>
      <c r="F55" s="40"/>
      <c r="G55" s="145"/>
      <c r="H55" s="40"/>
      <c r="I55" s="145"/>
      <c r="J55" s="40"/>
      <c r="K55" s="145"/>
      <c r="L55" s="40"/>
      <c r="M55" s="145"/>
      <c r="N55" s="40"/>
      <c r="O55" s="145"/>
      <c r="P55" s="40"/>
      <c r="Q55" s="145"/>
      <c r="R55" s="40"/>
      <c r="S55" s="145"/>
      <c r="T55" s="40"/>
      <c r="U55" s="145"/>
      <c r="V55" s="40"/>
      <c r="W55" s="145"/>
      <c r="X55" s="40"/>
      <c r="Y55" s="145"/>
      <c r="Z55" s="40"/>
      <c r="AA55" s="145"/>
      <c r="AB55" s="29"/>
    </row>
    <row r="56" spans="2:28" x14ac:dyDescent="0.25">
      <c r="B56" s="42" t="s">
        <v>224</v>
      </c>
      <c r="C56" s="42"/>
      <c r="D56" s="41"/>
      <c r="E56" s="145"/>
      <c r="F56" s="40"/>
      <c r="G56" s="145"/>
      <c r="H56" s="40"/>
      <c r="I56" s="145"/>
      <c r="J56" s="40"/>
      <c r="K56" s="145"/>
      <c r="L56" s="40"/>
      <c r="M56" s="145"/>
      <c r="N56" s="40"/>
      <c r="O56" s="145"/>
      <c r="P56" s="40"/>
      <c r="Q56" s="145"/>
      <c r="R56" s="40"/>
      <c r="S56" s="145"/>
      <c r="T56" s="40"/>
      <c r="U56" s="145"/>
      <c r="V56" s="40"/>
      <c r="W56" s="145"/>
      <c r="X56" s="40"/>
      <c r="Y56" s="145"/>
      <c r="Z56" s="40"/>
      <c r="AA56" s="145"/>
      <c r="AB56" s="29"/>
    </row>
    <row r="57" spans="2:28" x14ac:dyDescent="0.25">
      <c r="C57" s="41" t="str">
        <f>Estimation!A93</f>
        <v>Capital Equipment</v>
      </c>
      <c r="E57" s="145"/>
      <c r="F57" s="40">
        <f>SUMIF(Estimation!$A$20:$A$203,$C57,Estimation!J$20:J$206)</f>
        <v>0</v>
      </c>
      <c r="G57" s="145"/>
      <c r="H57" s="40">
        <f>SUMIF(Estimation!$A$20:$A$203,$C57,Estimation!L$20:L$206)</f>
        <v>0</v>
      </c>
      <c r="I57" s="145"/>
      <c r="J57" s="40">
        <f>SUMIF(Estimation!$A$20:$A$203,$C57,Estimation!N$20:N$206)</f>
        <v>0</v>
      </c>
      <c r="K57" s="145"/>
      <c r="L57" s="40">
        <f>SUMIF(Estimation!$A$20:$A$203,$C57,Estimation!P$20:P$206)</f>
        <v>0</v>
      </c>
      <c r="M57" s="145"/>
      <c r="N57" s="40">
        <f>SUMIF(Estimation!$A$20:$A$203,$C57,Estimation!R$20:R$206)</f>
        <v>0</v>
      </c>
      <c r="O57" s="145"/>
      <c r="P57" s="40">
        <f>SUMIF(Estimation!$A$20:$A$203,$C57,Estimation!T$20:T$206)</f>
        <v>0</v>
      </c>
      <c r="Q57" s="145"/>
      <c r="R57" s="40">
        <f>SUMIF(Estimation!$A$20:$A$203,$C57,Estimation!V$20:V$206)</f>
        <v>0</v>
      </c>
      <c r="S57" s="145"/>
      <c r="T57" s="40">
        <f>SUMIF(Estimation!$A$20:$A$203,$C57,Estimation!X$20:X$206)</f>
        <v>0</v>
      </c>
      <c r="U57" s="145"/>
      <c r="V57" s="40">
        <f>SUMIF(Estimation!$A$20:$A$203,$C57,Estimation!Z$20:Z$206)</f>
        <v>0</v>
      </c>
      <c r="W57" s="145"/>
      <c r="X57" s="40">
        <f>SUMIF(Estimation!$A$20:$A$203,$C57,Estimation!AB$20:AB$206)</f>
        <v>0</v>
      </c>
      <c r="Y57" s="145"/>
      <c r="Z57" s="40">
        <f>SUM(F57:X57)</f>
        <v>0</v>
      </c>
      <c r="AA57" s="145"/>
      <c r="AB57" s="29"/>
    </row>
    <row r="58" spans="2:28" ht="8.25" customHeight="1" x14ac:dyDescent="0.25">
      <c r="C58" s="41"/>
      <c r="E58" s="146"/>
      <c r="F58" s="71"/>
      <c r="G58" s="146"/>
      <c r="H58" s="71"/>
      <c r="I58" s="146"/>
      <c r="J58" s="71"/>
      <c r="K58" s="146"/>
      <c r="L58" s="71"/>
      <c r="M58" s="146"/>
      <c r="N58" s="71"/>
      <c r="O58" s="146"/>
      <c r="P58" s="71"/>
      <c r="Q58" s="146"/>
      <c r="R58" s="71"/>
      <c r="S58" s="146"/>
      <c r="T58" s="71"/>
      <c r="U58" s="146"/>
      <c r="V58" s="71"/>
      <c r="W58" s="146"/>
      <c r="X58" s="71"/>
      <c r="Y58" s="146"/>
      <c r="Z58" s="71"/>
      <c r="AA58" s="146"/>
      <c r="AB58" s="29"/>
    </row>
    <row r="59" spans="2:28" x14ac:dyDescent="0.25">
      <c r="B59" s="41"/>
      <c r="C59" s="41"/>
      <c r="D59" s="158" t="s">
        <v>219</v>
      </c>
      <c r="E59" s="145"/>
      <c r="F59" s="40">
        <f>F57</f>
        <v>0</v>
      </c>
      <c r="G59" s="145"/>
      <c r="H59" s="40">
        <f>H57</f>
        <v>0</v>
      </c>
      <c r="I59" s="145"/>
      <c r="J59" s="40">
        <f>J57</f>
        <v>0</v>
      </c>
      <c r="K59" s="145"/>
      <c r="L59" s="40">
        <f>L57</f>
        <v>0</v>
      </c>
      <c r="M59" s="145"/>
      <c r="N59" s="40">
        <f>N57</f>
        <v>0</v>
      </c>
      <c r="O59" s="145"/>
      <c r="P59" s="40">
        <f>P57</f>
        <v>0</v>
      </c>
      <c r="Q59" s="145"/>
      <c r="R59" s="40">
        <f>R57</f>
        <v>0</v>
      </c>
      <c r="S59" s="145"/>
      <c r="T59" s="40">
        <f>T57</f>
        <v>0</v>
      </c>
      <c r="U59" s="145"/>
      <c r="V59" s="40">
        <f>V57</f>
        <v>0</v>
      </c>
      <c r="W59" s="145"/>
      <c r="X59" s="40">
        <f>X57</f>
        <v>0</v>
      </c>
      <c r="Y59" s="145"/>
      <c r="Z59" s="40">
        <f>SUM(F59:X59)</f>
        <v>0</v>
      </c>
      <c r="AA59" s="145"/>
      <c r="AB59" s="29"/>
    </row>
    <row r="60" spans="2:28" x14ac:dyDescent="0.25">
      <c r="B60" s="42"/>
      <c r="C60" s="42"/>
      <c r="D60" s="42"/>
      <c r="E60" s="145"/>
      <c r="F60" s="40"/>
      <c r="G60" s="145"/>
      <c r="H60" s="40"/>
      <c r="I60" s="145"/>
      <c r="J60" s="40"/>
      <c r="K60" s="145"/>
      <c r="L60" s="40"/>
      <c r="M60" s="145"/>
      <c r="N60" s="40"/>
      <c r="O60" s="145"/>
      <c r="P60" s="40"/>
      <c r="Q60" s="145"/>
      <c r="R60" s="40"/>
      <c r="S60" s="145"/>
      <c r="T60" s="40"/>
      <c r="U60" s="145"/>
      <c r="V60" s="40"/>
      <c r="W60" s="145"/>
      <c r="X60" s="40"/>
      <c r="Y60" s="145"/>
      <c r="Z60" s="40"/>
      <c r="AA60" s="145"/>
      <c r="AB60" s="29"/>
    </row>
    <row r="61" spans="2:28" x14ac:dyDescent="0.25">
      <c r="B61" s="42" t="s">
        <v>225</v>
      </c>
      <c r="C61" s="42"/>
      <c r="D61" s="42"/>
      <c r="E61" s="145"/>
      <c r="F61" s="40"/>
      <c r="G61" s="145"/>
      <c r="H61" s="40"/>
      <c r="I61" s="145"/>
      <c r="J61" s="40"/>
      <c r="K61" s="145"/>
      <c r="L61" s="40"/>
      <c r="M61" s="145"/>
      <c r="N61" s="40"/>
      <c r="O61" s="145"/>
      <c r="P61" s="40"/>
      <c r="Q61" s="145"/>
      <c r="R61" s="40"/>
      <c r="S61" s="145"/>
      <c r="T61" s="40"/>
      <c r="U61" s="145"/>
      <c r="V61" s="40"/>
      <c r="W61" s="145"/>
      <c r="X61" s="40"/>
      <c r="Y61" s="145"/>
      <c r="Z61" s="40"/>
      <c r="AA61" s="145"/>
      <c r="AB61" s="29"/>
    </row>
    <row r="62" spans="2:28" x14ac:dyDescent="0.25">
      <c r="C62" s="41" t="str">
        <f>Hidden_Lookups!A20</f>
        <v>Domestic Travel</v>
      </c>
      <c r="E62" s="145"/>
      <c r="F62" s="40">
        <f>SUMIF(Estimation!$A$101:$A$149,$C62,Estimation!J$101:J$149)</f>
        <v>0</v>
      </c>
      <c r="G62" s="145"/>
      <c r="H62" s="40">
        <f>SUMIF(Estimation!$A$101:$A$149,$C62,Estimation!L$101:L$149)</f>
        <v>0</v>
      </c>
      <c r="I62" s="145"/>
      <c r="J62" s="40">
        <f>SUMIF(Estimation!$A$101:$A$149,$C62,Estimation!N$101:N$149)</f>
        <v>0</v>
      </c>
      <c r="K62" s="145"/>
      <c r="L62" s="40">
        <f>SUMIF(Estimation!$A$101:$A$149,$C62,Estimation!P$101:P$149)</f>
        <v>0</v>
      </c>
      <c r="M62" s="145"/>
      <c r="N62" s="40">
        <f>SUMIF(Estimation!$A$101:$A$149,$C62,Estimation!R$101:R$149)</f>
        <v>0</v>
      </c>
      <c r="O62" s="145"/>
      <c r="P62" s="40">
        <f>SUMIF(Estimation!$A$101:$A$149,$C62,Estimation!T$101:T$149)</f>
        <v>0</v>
      </c>
      <c r="Q62" s="145"/>
      <c r="R62" s="40">
        <f>SUMIF(Estimation!$A$101:$A$149,$C62,Estimation!V$101:V$149)</f>
        <v>0</v>
      </c>
      <c r="S62" s="145"/>
      <c r="T62" s="40">
        <f>SUMIF(Estimation!$A$101:$A$149,$C62,Estimation!X$101:X$149)</f>
        <v>0</v>
      </c>
      <c r="U62" s="145"/>
      <c r="V62" s="40">
        <f>SUMIF(Estimation!$A$101:$A$149,$C62,Estimation!Z$101:Z$149)</f>
        <v>0</v>
      </c>
      <c r="W62" s="145"/>
      <c r="X62" s="40">
        <f>SUMIF(Estimation!$A$101:$A$149,$C62,Estimation!AB$101:AB$149)</f>
        <v>0</v>
      </c>
      <c r="Y62" s="145"/>
      <c r="Z62" s="40">
        <f>SUM(F62:X62)</f>
        <v>0</v>
      </c>
      <c r="AA62" s="145"/>
      <c r="AB62" s="29"/>
    </row>
    <row r="63" spans="2:28" x14ac:dyDescent="0.25">
      <c r="C63" s="41" t="str">
        <f>Hidden_Lookups!A21</f>
        <v>International Travel</v>
      </c>
      <c r="E63" s="145"/>
      <c r="F63" s="40">
        <f>SUMIF(Estimation!$A$101:$A$149,$C63,Estimation!J$101:J$149)</f>
        <v>0</v>
      </c>
      <c r="G63" s="145"/>
      <c r="H63" s="40">
        <f>SUMIF(Estimation!$A$101:$A$149,$C63,Estimation!L$101:L$149)</f>
        <v>0</v>
      </c>
      <c r="I63" s="145"/>
      <c r="J63" s="40">
        <f>SUMIF(Estimation!$A$101:$A$149,$C63,Estimation!N$101:N$149)</f>
        <v>0</v>
      </c>
      <c r="K63" s="145"/>
      <c r="L63" s="40">
        <f>SUMIF(Estimation!$A$101:$A$149,$C63,Estimation!P$101:P$149)</f>
        <v>0</v>
      </c>
      <c r="M63" s="145"/>
      <c r="N63" s="40">
        <f>SUMIF(Estimation!$A$101:$A$149,$C63,Estimation!R$101:R$149)</f>
        <v>0</v>
      </c>
      <c r="O63" s="145"/>
      <c r="P63" s="40">
        <f>SUMIF(Estimation!$A$101:$A$149,$C63,Estimation!T$101:T$149)</f>
        <v>0</v>
      </c>
      <c r="Q63" s="145"/>
      <c r="R63" s="40">
        <f>SUMIF(Estimation!$A$101:$A$149,$C63,Estimation!V$101:V$149)</f>
        <v>0</v>
      </c>
      <c r="S63" s="145"/>
      <c r="T63" s="40">
        <f>SUMIF(Estimation!$A$101:$A$149,$C63,Estimation!X$101:X$149)</f>
        <v>0</v>
      </c>
      <c r="U63" s="145"/>
      <c r="V63" s="40">
        <f>SUMIF(Estimation!$A$101:$A$149,$C63,Estimation!Z$101:Z$149)</f>
        <v>0</v>
      </c>
      <c r="W63" s="145"/>
      <c r="X63" s="40">
        <f>SUMIF(Estimation!$A$101:$A$149,$C63,Estimation!AB$101:AB$149)</f>
        <v>0</v>
      </c>
      <c r="Y63" s="145"/>
      <c r="Z63" s="40">
        <f>SUM(F63:X63)</f>
        <v>0</v>
      </c>
      <c r="AA63" s="145"/>
      <c r="AB63" s="29"/>
    </row>
    <row r="64" spans="2:28" ht="8.25" customHeight="1" x14ac:dyDescent="0.25">
      <c r="C64" s="41"/>
      <c r="E64" s="146"/>
      <c r="F64" s="71"/>
      <c r="G64" s="146"/>
      <c r="H64" s="71"/>
      <c r="I64" s="146"/>
      <c r="J64" s="71"/>
      <c r="K64" s="146"/>
      <c r="L64" s="71"/>
      <c r="M64" s="146"/>
      <c r="N64" s="71"/>
      <c r="O64" s="146"/>
      <c r="P64" s="71"/>
      <c r="Q64" s="146"/>
      <c r="R64" s="71"/>
      <c r="S64" s="146"/>
      <c r="T64" s="71"/>
      <c r="U64" s="146"/>
      <c r="V64" s="71"/>
      <c r="W64" s="146"/>
      <c r="X64" s="71"/>
      <c r="Y64" s="146"/>
      <c r="Z64" s="71"/>
      <c r="AA64" s="146"/>
      <c r="AB64" s="29"/>
    </row>
    <row r="65" spans="2:50" x14ac:dyDescent="0.25">
      <c r="B65" s="41"/>
      <c r="C65" s="41"/>
      <c r="D65" s="158" t="s">
        <v>21</v>
      </c>
      <c r="E65" s="145"/>
      <c r="F65" s="40">
        <f>SUM(F62:F63)</f>
        <v>0</v>
      </c>
      <c r="G65" s="145"/>
      <c r="H65" s="40">
        <f>SUM(H62:H63)</f>
        <v>0</v>
      </c>
      <c r="I65" s="145"/>
      <c r="J65" s="40">
        <f>SUM(J62:J63)</f>
        <v>0</v>
      </c>
      <c r="K65" s="145"/>
      <c r="L65" s="40">
        <f>SUM(L62:L63)</f>
        <v>0</v>
      </c>
      <c r="M65" s="145"/>
      <c r="N65" s="40">
        <f>SUM(N62:N63)</f>
        <v>0</v>
      </c>
      <c r="O65" s="145"/>
      <c r="P65" s="40">
        <f>SUM(P62:P63)</f>
        <v>0</v>
      </c>
      <c r="Q65" s="145"/>
      <c r="R65" s="40">
        <f>SUM(R62:R63)</f>
        <v>0</v>
      </c>
      <c r="S65" s="145"/>
      <c r="T65" s="40">
        <f>SUM(T62:T63)</f>
        <v>0</v>
      </c>
      <c r="U65" s="145"/>
      <c r="V65" s="40">
        <f>SUM(V62:V63)</f>
        <v>0</v>
      </c>
      <c r="W65" s="145"/>
      <c r="X65" s="40">
        <f>SUM(X62:X63)</f>
        <v>0</v>
      </c>
      <c r="Y65" s="145"/>
      <c r="Z65" s="40">
        <f>SUM(F65:X65)</f>
        <v>0</v>
      </c>
      <c r="AA65" s="145"/>
      <c r="AB65" s="29"/>
    </row>
    <row r="66" spans="2:50" x14ac:dyDescent="0.25">
      <c r="B66" s="41"/>
      <c r="C66" s="41"/>
      <c r="D66" s="41"/>
      <c r="E66" s="145"/>
      <c r="F66" s="40"/>
      <c r="G66" s="145"/>
      <c r="H66" s="40"/>
      <c r="I66" s="145"/>
      <c r="J66" s="40"/>
      <c r="K66" s="145"/>
      <c r="L66" s="40"/>
      <c r="M66" s="145"/>
      <c r="N66" s="40"/>
      <c r="O66" s="145"/>
      <c r="P66" s="40"/>
      <c r="Q66" s="145"/>
      <c r="R66" s="40"/>
      <c r="S66" s="145"/>
      <c r="T66" s="40"/>
      <c r="U66" s="145"/>
      <c r="V66" s="40"/>
      <c r="W66" s="145"/>
      <c r="X66" s="40"/>
      <c r="Y66" s="145"/>
      <c r="Z66" s="40"/>
      <c r="AA66" s="145"/>
      <c r="AB66" s="29"/>
    </row>
    <row r="67" spans="2:50" x14ac:dyDescent="0.25">
      <c r="B67" s="42" t="s">
        <v>228</v>
      </c>
      <c r="C67" s="42"/>
      <c r="D67" s="42"/>
      <c r="E67" s="145"/>
      <c r="F67" s="40"/>
      <c r="G67" s="145"/>
      <c r="H67" s="40"/>
      <c r="I67" s="145"/>
      <c r="J67" s="40"/>
      <c r="K67" s="145"/>
      <c r="L67" s="40"/>
      <c r="M67" s="145"/>
      <c r="N67" s="40"/>
      <c r="O67" s="145"/>
      <c r="P67" s="40"/>
      <c r="Q67" s="145"/>
      <c r="R67" s="40"/>
      <c r="S67" s="145"/>
      <c r="T67" s="40"/>
      <c r="U67" s="145"/>
      <c r="V67" s="40"/>
      <c r="W67" s="145"/>
      <c r="X67" s="40"/>
      <c r="Y67" s="145"/>
      <c r="Z67" s="40"/>
      <c r="AA67" s="145"/>
      <c r="AB67" s="29"/>
    </row>
    <row r="68" spans="2:50" x14ac:dyDescent="0.25">
      <c r="C68" s="41" t="s">
        <v>30</v>
      </c>
      <c r="E68" s="145"/>
      <c r="F68" s="40">
        <f>SUMIF(Estimation!$A$20:$A$203,$C68,Estimation!J$20:J$206)</f>
        <v>0</v>
      </c>
      <c r="G68" s="145"/>
      <c r="H68" s="40">
        <f>SUMIF(Estimation!$A$20:$A$203,$C68,Estimation!L$20:L$206)</f>
        <v>0</v>
      </c>
      <c r="I68" s="145"/>
      <c r="J68" s="40">
        <f>SUMIF(Estimation!$A$20:$A$203,$C68,Estimation!N$20:N$206)</f>
        <v>0</v>
      </c>
      <c r="K68" s="145"/>
      <c r="L68" s="40">
        <f>SUMIF(Estimation!$A$20:$A$203,$C68,Estimation!P$20:P$206)</f>
        <v>0</v>
      </c>
      <c r="M68" s="145"/>
      <c r="N68" s="40">
        <f>SUMIF(Estimation!$A$20:$A$203,$C68,Estimation!R$20:R$206)</f>
        <v>0</v>
      </c>
      <c r="O68" s="145"/>
      <c r="P68" s="40">
        <f>SUMIF(Estimation!$A$20:$A$203,$C68,Estimation!T$20:T$206)</f>
        <v>0</v>
      </c>
      <c r="Q68" s="145"/>
      <c r="R68" s="40">
        <f>SUMIF(Estimation!$A$20:$A$203,$C68,Estimation!V$20:V$206)</f>
        <v>0</v>
      </c>
      <c r="S68" s="145"/>
      <c r="T68" s="40">
        <f>SUMIF(Estimation!$A$20:$A$203,$C68,Estimation!X$20:X$206)</f>
        <v>0</v>
      </c>
      <c r="U68" s="145"/>
      <c r="V68" s="40">
        <f>SUMIF(Estimation!$A$20:$A$203,$C68,Estimation!Z$20:Z$206)</f>
        <v>0</v>
      </c>
      <c r="W68" s="145"/>
      <c r="X68" s="40">
        <f>SUMIF(Estimation!$A$20:$A$203,$C68,Estimation!AB$20:AB$206)</f>
        <v>0</v>
      </c>
      <c r="Y68" s="145"/>
      <c r="Z68" s="40">
        <f>SUM(F68:X68)</f>
        <v>0</v>
      </c>
      <c r="AA68" s="145"/>
      <c r="AB68" s="29"/>
    </row>
    <row r="69" spans="2:50" ht="8.25" customHeight="1" x14ac:dyDescent="0.25">
      <c r="C69" s="41"/>
      <c r="E69" s="146"/>
      <c r="F69" s="71"/>
      <c r="G69" s="146"/>
      <c r="H69" s="71"/>
      <c r="I69" s="146"/>
      <c r="J69" s="71"/>
      <c r="K69" s="146"/>
      <c r="L69" s="71"/>
      <c r="M69" s="146"/>
      <c r="N69" s="71"/>
      <c r="O69" s="146"/>
      <c r="P69" s="71"/>
      <c r="Q69" s="146"/>
      <c r="R69" s="71"/>
      <c r="S69" s="146"/>
      <c r="T69" s="71"/>
      <c r="U69" s="146"/>
      <c r="V69" s="71"/>
      <c r="W69" s="146"/>
      <c r="X69" s="71"/>
      <c r="Y69" s="146"/>
      <c r="Z69" s="71"/>
      <c r="AA69" s="146"/>
      <c r="AB69" s="29"/>
    </row>
    <row r="70" spans="2:50" x14ac:dyDescent="0.25">
      <c r="B70" s="41"/>
      <c r="C70" s="41"/>
      <c r="D70" s="158" t="s">
        <v>44</v>
      </c>
      <c r="E70" s="145"/>
      <c r="F70" s="40">
        <f>SUM(F68:F68)</f>
        <v>0</v>
      </c>
      <c r="G70" s="145"/>
      <c r="H70" s="40">
        <f>SUM(H68:H68)</f>
        <v>0</v>
      </c>
      <c r="I70" s="145"/>
      <c r="J70" s="40">
        <f>SUM(J68:J68)</f>
        <v>0</v>
      </c>
      <c r="K70" s="145"/>
      <c r="L70" s="40">
        <f>SUM(L68:L68)</f>
        <v>0</v>
      </c>
      <c r="M70" s="145"/>
      <c r="N70" s="40">
        <f>SUM(N68:N68)</f>
        <v>0</v>
      </c>
      <c r="O70" s="145"/>
      <c r="P70" s="40">
        <f>SUM(P68:P68)</f>
        <v>0</v>
      </c>
      <c r="Q70" s="145"/>
      <c r="R70" s="40">
        <f>SUM(R68:R68)</f>
        <v>0</v>
      </c>
      <c r="S70" s="145"/>
      <c r="T70" s="40">
        <f>SUM(T68:T68)</f>
        <v>0</v>
      </c>
      <c r="U70" s="145"/>
      <c r="V70" s="40">
        <f>SUM(V68:V68)</f>
        <v>0</v>
      </c>
      <c r="W70" s="145"/>
      <c r="X70" s="40">
        <f>SUM(X68:X68)</f>
        <v>0</v>
      </c>
      <c r="Y70" s="145"/>
      <c r="Z70" s="40">
        <f>SUM(F70:X70)</f>
        <v>0</v>
      </c>
      <c r="AA70" s="145"/>
      <c r="AB70" s="29"/>
    </row>
    <row r="71" spans="2:50" x14ac:dyDescent="0.25">
      <c r="B71" s="41"/>
      <c r="C71" s="41"/>
      <c r="D71" s="41"/>
      <c r="E71" s="145"/>
      <c r="F71" s="40"/>
      <c r="G71" s="145"/>
      <c r="H71" s="40"/>
      <c r="I71" s="145"/>
      <c r="J71" s="40"/>
      <c r="K71" s="145"/>
      <c r="L71" s="40"/>
      <c r="M71" s="145"/>
      <c r="N71" s="40"/>
      <c r="O71" s="145"/>
      <c r="P71" s="40"/>
      <c r="Q71" s="145"/>
      <c r="R71" s="40"/>
      <c r="S71" s="145"/>
      <c r="T71" s="40"/>
      <c r="U71" s="145"/>
      <c r="V71" s="40"/>
      <c r="W71" s="145"/>
      <c r="X71" s="40"/>
      <c r="Y71" s="145"/>
      <c r="Z71" s="40"/>
      <c r="AA71" s="145"/>
      <c r="AB71" s="29"/>
    </row>
    <row r="72" spans="2:50" x14ac:dyDescent="0.25">
      <c r="B72" s="42" t="s">
        <v>229</v>
      </c>
      <c r="C72" s="42"/>
      <c r="D72" s="42"/>
      <c r="E72" s="145"/>
      <c r="F72" s="40"/>
      <c r="G72" s="145"/>
      <c r="H72" s="40"/>
      <c r="I72" s="145"/>
      <c r="J72" s="40"/>
      <c r="K72" s="145"/>
      <c r="L72" s="40"/>
      <c r="M72" s="145"/>
      <c r="N72" s="40"/>
      <c r="O72" s="145"/>
      <c r="P72" s="40"/>
      <c r="Q72" s="145"/>
      <c r="R72" s="40"/>
      <c r="S72" s="145"/>
      <c r="T72" s="40"/>
      <c r="U72" s="145"/>
      <c r="V72" s="40"/>
      <c r="W72" s="145"/>
      <c r="X72" s="40"/>
      <c r="Y72" s="145"/>
      <c r="Z72" s="40"/>
      <c r="AA72" s="145"/>
      <c r="AB72" s="29"/>
    </row>
    <row r="73" spans="2:50" outlineLevel="1" x14ac:dyDescent="0.25">
      <c r="C73" s="41" t="str">
        <f>Hidden_Lookups!A24</f>
        <v>Materials and Supplies</v>
      </c>
      <c r="D73" s="42"/>
      <c r="E73" s="145"/>
      <c r="F73" s="40">
        <f>SUMIF(Estimation!$A$168:$A$197,$C73,Estimation!J$168:J$197)</f>
        <v>0</v>
      </c>
      <c r="G73" s="145"/>
      <c r="H73" s="40">
        <f>SUMIF(Estimation!$A$168:$A$197,$C73,Estimation!L$168:L$197)</f>
        <v>0</v>
      </c>
      <c r="I73" s="145"/>
      <c r="J73" s="40">
        <f>SUMIF(Estimation!$A$168:$A197,$C73,Estimation!N$168:N$197)</f>
        <v>0</v>
      </c>
      <c r="K73" s="145"/>
      <c r="L73" s="40">
        <f>SUMIF(Estimation!$A$168:$A197,$C73,Estimation!P$168:P$197)</f>
        <v>0</v>
      </c>
      <c r="M73" s="145"/>
      <c r="N73" s="40">
        <f>SUMIF(Estimation!$A$168:$A197,$C73,Estimation!R$168:R$197)</f>
        <v>0</v>
      </c>
      <c r="O73" s="145"/>
      <c r="P73" s="40">
        <f>SUMIF(Estimation!$A$168:$A197,$C73,Estimation!T$168:T$197)</f>
        <v>0</v>
      </c>
      <c r="Q73" s="145"/>
      <c r="R73" s="40">
        <f>SUMIF(Estimation!$A$168:$A197,$C73,Estimation!V$168:V$197)</f>
        <v>0</v>
      </c>
      <c r="S73" s="145"/>
      <c r="T73" s="40">
        <f>SUMIF(Estimation!$A$168:$A197,$C73,Estimation!X$168:X$197)</f>
        <v>0</v>
      </c>
      <c r="U73" s="145"/>
      <c r="V73" s="40">
        <f>SUMIF(Estimation!$A$168:$A197,$C73,Estimation!Z$168:Z$197)</f>
        <v>0</v>
      </c>
      <c r="W73" s="145"/>
      <c r="X73" s="40">
        <f>SUMIF(Estimation!$A$168:$A197,$C73,Estimation!AB$168:AB$197)</f>
        <v>0</v>
      </c>
      <c r="Y73" s="145"/>
      <c r="Z73" s="40">
        <f>SUM(F73:X73)</f>
        <v>0</v>
      </c>
      <c r="AA73" s="145"/>
      <c r="AB73" s="29"/>
    </row>
    <row r="74" spans="2:50" s="20" customFormat="1" outlineLevel="1" x14ac:dyDescent="0.25">
      <c r="C74" s="41" t="str">
        <f>Hidden_Lookups!A25</f>
        <v>Publication Costs</v>
      </c>
      <c r="D74" s="74"/>
      <c r="E74" s="145"/>
      <c r="F74" s="40">
        <f>SUMIF(Estimation!$A$168:$A$197,$C74,Estimation!J$168:J$197)</f>
        <v>0</v>
      </c>
      <c r="G74" s="145"/>
      <c r="H74" s="40">
        <f>SUMIF(Estimation!$A$168:$A$197,$C74,Estimation!L$168:L$197)</f>
        <v>0</v>
      </c>
      <c r="I74" s="145"/>
      <c r="J74" s="40">
        <f ca="1">SUMIF(Estimation!$A$168:$A198,$C74,Estimation!N$168:N$197)</f>
        <v>0</v>
      </c>
      <c r="K74" s="145"/>
      <c r="L74" s="40">
        <f ca="1">SUMIF(Estimation!$A$168:$A198,$C74,Estimation!P$168:P$197)</f>
        <v>0</v>
      </c>
      <c r="M74" s="145"/>
      <c r="N74" s="40">
        <f ca="1">SUMIF(Estimation!$A$168:$A198,$C74,Estimation!R$168:R$197)</f>
        <v>0</v>
      </c>
      <c r="O74" s="145"/>
      <c r="P74" s="40">
        <f ca="1">SUMIF(Estimation!$A$168:$A198,$C74,Estimation!T$168:T$197)</f>
        <v>0</v>
      </c>
      <c r="Q74" s="145"/>
      <c r="R74" s="40">
        <f ca="1">SUMIF(Estimation!$A$168:$A198,$C74,Estimation!V$168:V$197)</f>
        <v>0</v>
      </c>
      <c r="S74" s="145"/>
      <c r="T74" s="40">
        <f ca="1">SUMIF(Estimation!$A$168:$A198,$C74,Estimation!X$168:X$197)</f>
        <v>0</v>
      </c>
      <c r="U74" s="145"/>
      <c r="V74" s="40">
        <f ca="1">SUMIF(Estimation!$A$168:$A198,$C74,Estimation!Z$168:Z$197)</f>
        <v>0</v>
      </c>
      <c r="W74" s="145"/>
      <c r="X74" s="40">
        <f ca="1">SUMIF(Estimation!$A$168:$A198,$C74,Estimation!AB$168:AB$197)</f>
        <v>0</v>
      </c>
      <c r="Y74" s="145"/>
      <c r="Z74" s="40">
        <f t="shared" ref="Z74:Z79" ca="1" si="2">SUM(F74:X74)</f>
        <v>0</v>
      </c>
      <c r="AA74" s="145"/>
      <c r="AB74" s="51"/>
      <c r="AD74" s="13"/>
      <c r="AE74" s="13"/>
      <c r="AF74" s="13"/>
      <c r="AG74" s="13"/>
      <c r="AH74" s="13"/>
      <c r="AI74" s="13"/>
      <c r="AJ74" s="13"/>
      <c r="AK74" s="13"/>
      <c r="AL74" s="13"/>
      <c r="AM74" s="13"/>
      <c r="AN74" s="13"/>
      <c r="AO74" s="13"/>
      <c r="AP74" s="13"/>
      <c r="AQ74" s="13"/>
      <c r="AR74" s="13"/>
      <c r="AS74" s="13"/>
      <c r="AT74" s="13"/>
      <c r="AU74" s="13"/>
      <c r="AV74" s="13"/>
      <c r="AW74" s="13"/>
      <c r="AX74" s="13"/>
    </row>
    <row r="75" spans="2:50" outlineLevel="1" x14ac:dyDescent="0.25">
      <c r="C75" s="41" t="str">
        <f>Hidden_Lookups!A26</f>
        <v>Consultant or Contract Services</v>
      </c>
      <c r="E75" s="145"/>
      <c r="F75" s="40">
        <f>SUMIF(Estimation!$A$168:$A$197,$C75,Estimation!J$168:J$197)</f>
        <v>0</v>
      </c>
      <c r="G75" s="145"/>
      <c r="H75" s="40">
        <f>SUMIF(Estimation!$A$168:$A$197,$C75,Estimation!L$168:L$197)</f>
        <v>0</v>
      </c>
      <c r="I75" s="145"/>
      <c r="J75" s="40">
        <f ca="1">SUMIF(Estimation!$A$168:$A199,$C75,Estimation!N$168:N$197)</f>
        <v>0</v>
      </c>
      <c r="K75" s="145"/>
      <c r="L75" s="40">
        <f ca="1">SUMIF(Estimation!$A$168:$A199,$C75,Estimation!P$168:P$197)</f>
        <v>0</v>
      </c>
      <c r="M75" s="145"/>
      <c r="N75" s="40">
        <f ca="1">SUMIF(Estimation!$A$168:$A199,$C75,Estimation!R$168:R$197)</f>
        <v>0</v>
      </c>
      <c r="O75" s="145"/>
      <c r="P75" s="40">
        <f ca="1">SUMIF(Estimation!$A$168:$A199,$C75,Estimation!T$168:T$197)</f>
        <v>0</v>
      </c>
      <c r="Q75" s="145"/>
      <c r="R75" s="40">
        <f ca="1">SUMIF(Estimation!$A$168:$A199,$C75,Estimation!V$168:V$197)</f>
        <v>0</v>
      </c>
      <c r="S75" s="145"/>
      <c r="T75" s="40">
        <f ca="1">SUMIF(Estimation!$A$168:$A199,$C75,Estimation!X$168:X$197)</f>
        <v>0</v>
      </c>
      <c r="U75" s="145"/>
      <c r="V75" s="40">
        <f ca="1">SUMIF(Estimation!$A$168:$A199,$C75,Estimation!Z$168:Z$197)</f>
        <v>0</v>
      </c>
      <c r="W75" s="145"/>
      <c r="X75" s="40">
        <f ca="1">SUMIF(Estimation!$A$168:$A199,$C75,Estimation!AB$168:AB$197)</f>
        <v>0</v>
      </c>
      <c r="Y75" s="145"/>
      <c r="Z75" s="40">
        <f t="shared" ca="1" si="2"/>
        <v>0</v>
      </c>
      <c r="AA75" s="145"/>
      <c r="AB75" s="29"/>
      <c r="AD75" s="20"/>
      <c r="AE75" s="20"/>
      <c r="AF75" s="20"/>
      <c r="AG75" s="20"/>
      <c r="AH75" s="20"/>
      <c r="AI75" s="20"/>
      <c r="AJ75" s="20"/>
      <c r="AK75" s="20"/>
      <c r="AL75" s="20"/>
      <c r="AM75" s="20"/>
      <c r="AN75" s="20"/>
      <c r="AO75" s="20"/>
      <c r="AP75" s="20"/>
      <c r="AQ75" s="20"/>
      <c r="AR75" s="20"/>
      <c r="AS75" s="20"/>
      <c r="AT75" s="20"/>
      <c r="AU75" s="20"/>
      <c r="AV75" s="20"/>
      <c r="AW75" s="20"/>
      <c r="AX75" s="20"/>
    </row>
    <row r="76" spans="2:50" outlineLevel="1" x14ac:dyDescent="0.25">
      <c r="C76" s="41" t="str">
        <f>Hidden_Lookups!A27</f>
        <v>Computer Services</v>
      </c>
      <c r="E76" s="145"/>
      <c r="F76" s="40">
        <f>SUMIF(Estimation!$A$168:$A$197,$C76,Estimation!J$168:J$197)</f>
        <v>0</v>
      </c>
      <c r="G76" s="145"/>
      <c r="H76" s="40">
        <f>SUMIF(Estimation!$A$168:$A$197,$C76,Estimation!L$168:L$197)</f>
        <v>0</v>
      </c>
      <c r="I76" s="145"/>
      <c r="J76" s="40">
        <f ca="1">SUMIF(Estimation!$A$168:$A200,$C76,Estimation!N$168:N$197)</f>
        <v>0</v>
      </c>
      <c r="K76" s="145"/>
      <c r="L76" s="40">
        <f ca="1">SUMIF(Estimation!$A$168:$A200,$C76,Estimation!P$168:P$197)</f>
        <v>0</v>
      </c>
      <c r="M76" s="145"/>
      <c r="N76" s="40">
        <f ca="1">SUMIF(Estimation!$A$168:$A200,$C76,Estimation!R$168:R$197)</f>
        <v>0</v>
      </c>
      <c r="O76" s="145"/>
      <c r="P76" s="40">
        <f ca="1">SUMIF(Estimation!$A$168:$A200,$C76,Estimation!T$168:T$197)</f>
        <v>0</v>
      </c>
      <c r="Q76" s="145"/>
      <c r="R76" s="40">
        <f ca="1">SUMIF(Estimation!$A$168:$A200,$C76,Estimation!V$168:V$197)</f>
        <v>0</v>
      </c>
      <c r="S76" s="145"/>
      <c r="T76" s="40">
        <f ca="1">SUMIF(Estimation!$A$168:$A200,$C76,Estimation!X$168:X$197)</f>
        <v>0</v>
      </c>
      <c r="U76" s="145"/>
      <c r="V76" s="40">
        <f ca="1">SUMIF(Estimation!$A$168:$A200,$C76,Estimation!Z$168:Z$197)</f>
        <v>0</v>
      </c>
      <c r="W76" s="145"/>
      <c r="X76" s="40">
        <f ca="1">SUMIF(Estimation!$A$168:$A200,$C76,Estimation!AB$168:AB$197)</f>
        <v>0</v>
      </c>
      <c r="Y76" s="145"/>
      <c r="Z76" s="40">
        <f t="shared" ca="1" si="2"/>
        <v>0</v>
      </c>
      <c r="AA76" s="145"/>
      <c r="AB76" s="29"/>
    </row>
    <row r="77" spans="2:50" outlineLevel="1" x14ac:dyDescent="0.25">
      <c r="C77" s="41" t="str">
        <f>Hidden_Lookups!A28</f>
        <v>Subawards</v>
      </c>
      <c r="E77" s="145"/>
      <c r="F77" s="40">
        <f>SUMIF(Estimation!$A$168:$A$197,$C77,Estimation!J$168:J$197)</f>
        <v>0</v>
      </c>
      <c r="G77" s="145"/>
      <c r="H77" s="40">
        <f>SUMIF(Estimation!$A$168:$A$197,$C77,Estimation!L$168:L$197)</f>
        <v>0</v>
      </c>
      <c r="I77" s="145"/>
      <c r="J77" s="40">
        <f ca="1">SUMIF(Estimation!$A$168:$A202,$C77,Estimation!N$168:N$197)</f>
        <v>0</v>
      </c>
      <c r="K77" s="145"/>
      <c r="L77" s="40">
        <f ca="1">SUMIF(Estimation!$A$168:$A202,$C77,Estimation!P$168:P$197)</f>
        <v>0</v>
      </c>
      <c r="M77" s="145"/>
      <c r="N77" s="40">
        <f ca="1">SUMIF(Estimation!$A$168:$A202,$C77,Estimation!R$168:R$197)</f>
        <v>0</v>
      </c>
      <c r="O77" s="145"/>
      <c r="P77" s="40">
        <f ca="1">SUMIF(Estimation!$A$168:$A202,$C77,Estimation!T$168:T$197)</f>
        <v>0</v>
      </c>
      <c r="Q77" s="145"/>
      <c r="R77" s="40">
        <f ca="1">SUMIF(Estimation!$A$168:$A202,$C77,Estimation!V$168:V$197)</f>
        <v>0</v>
      </c>
      <c r="S77" s="145"/>
      <c r="T77" s="40">
        <f ca="1">SUMIF(Estimation!$A$168:$A202,$C77,Estimation!X$168:X$197)</f>
        <v>0</v>
      </c>
      <c r="U77" s="145"/>
      <c r="V77" s="40">
        <f ca="1">SUMIF(Estimation!$A$168:$A202,$C77,Estimation!Z$168:Z$197)</f>
        <v>0</v>
      </c>
      <c r="W77" s="145"/>
      <c r="X77" s="40">
        <f ca="1">SUMIF(Estimation!$A$168:$A202,$C77,Estimation!AB$168:AB$197)</f>
        <v>0</v>
      </c>
      <c r="Y77" s="145"/>
      <c r="Z77" s="40">
        <f t="shared" ca="1" si="2"/>
        <v>0</v>
      </c>
      <c r="AA77" s="145"/>
      <c r="AB77" s="29"/>
    </row>
    <row r="78" spans="2:50" outlineLevel="1" x14ac:dyDescent="0.25">
      <c r="C78" s="41" t="str">
        <f>Hidden_Lookups!A30</f>
        <v>Other Direct Costs</v>
      </c>
      <c r="D78" s="42"/>
      <c r="E78" s="145"/>
      <c r="F78" s="40">
        <f>SUMIF(Estimation!$A$168:$A$197,$C78,Estimation!J$168:J$197)+F79</f>
        <v>0</v>
      </c>
      <c r="G78" s="145"/>
      <c r="H78" s="40">
        <f>SUMIF(Estimation!$A$168:$A$197,$C78,Estimation!L$168:L$197)+H79</f>
        <v>0</v>
      </c>
      <c r="I78" s="145"/>
      <c r="J78" s="40">
        <f>SUMIF(Estimation!$A$168:$A197,$C78,Estimation!N$168:N$197)+J79</f>
        <v>0</v>
      </c>
      <c r="K78" s="145"/>
      <c r="L78" s="40">
        <f>SUMIF(Estimation!$A$168:$A197,$C78,Estimation!P$168:P$197)+L79</f>
        <v>0</v>
      </c>
      <c r="M78" s="145"/>
      <c r="N78" s="40">
        <f>SUMIF(Estimation!$A$168:$A197,$C78,Estimation!R$168:R$197)+N79</f>
        <v>0</v>
      </c>
      <c r="O78" s="145"/>
      <c r="P78" s="40">
        <f ca="1">SUMIF(Estimation!$A$168:$A203,$C78,Estimation!T$168:T$197)+P79</f>
        <v>0</v>
      </c>
      <c r="Q78" s="145"/>
      <c r="R78" s="40">
        <f ca="1">SUMIF(Estimation!$A$168:$A203,$C78,Estimation!V$168:V$197)+R79</f>
        <v>0</v>
      </c>
      <c r="S78" s="145"/>
      <c r="T78" s="40">
        <f ca="1">SUMIF(Estimation!$A$168:$A203,$C78,Estimation!X$168:X$197)+T79</f>
        <v>0</v>
      </c>
      <c r="U78" s="145"/>
      <c r="V78" s="40">
        <f ca="1">SUMIF(Estimation!$A$168:$A203,$C78,Estimation!Z$168:Z$197)+V79</f>
        <v>0</v>
      </c>
      <c r="W78" s="145"/>
      <c r="X78" s="40">
        <f ca="1">SUMIF(Estimation!$A$168:$A203,$C78,Estimation!AB$168:AB$197)+X79</f>
        <v>0</v>
      </c>
      <c r="Y78" s="145"/>
      <c r="Z78" s="40">
        <f ca="1">SUM(F78:X78)</f>
        <v>0</v>
      </c>
      <c r="AA78" s="145"/>
      <c r="AB78" s="29"/>
    </row>
    <row r="79" spans="2:50" outlineLevel="1" x14ac:dyDescent="0.25">
      <c r="C79" s="171" t="str">
        <f>Hidden_Lookups!A29</f>
        <v>Tuition</v>
      </c>
      <c r="D79" s="19"/>
      <c r="E79" s="149"/>
      <c r="F79" s="68">
        <f>SUMIF(Estimation!$A$168:$A$197,$C79,Estimation!J$168:J$197)</f>
        <v>0</v>
      </c>
      <c r="G79" s="145"/>
      <c r="H79" s="68">
        <f>SUMIF(Estimation!$A$168:$A$197,$C79,Estimation!L$168:L$197)</f>
        <v>0</v>
      </c>
      <c r="I79" s="145"/>
      <c r="J79" s="68">
        <f>SUMIF(Estimation!$A$168:$A197,$C79,Estimation!N$168:N$197)</f>
        <v>0</v>
      </c>
      <c r="K79" s="145"/>
      <c r="L79" s="68">
        <f>SUMIF(Estimation!$A$168:$A197,$C79,Estimation!P$168:P$197)</f>
        <v>0</v>
      </c>
      <c r="M79" s="145"/>
      <c r="N79" s="68">
        <f>SUMIF(Estimation!$A$168:$A197,$C79,Estimation!R$168:R$197)</f>
        <v>0</v>
      </c>
      <c r="O79" s="149"/>
      <c r="P79" s="68">
        <f ca="1">SUMIF(Estimation!$A$168:$A203,$C79,Estimation!T$168:T$197)</f>
        <v>0</v>
      </c>
      <c r="Q79" s="149"/>
      <c r="R79" s="68">
        <f ca="1">SUMIF(Estimation!$A$168:$A203,$C79,Estimation!V$168:V$197)</f>
        <v>0</v>
      </c>
      <c r="S79" s="149"/>
      <c r="T79" s="68">
        <f ca="1">SUMIF(Estimation!$A$168:$A203,$C79,Estimation!X$168:X$197)</f>
        <v>0</v>
      </c>
      <c r="U79" s="149"/>
      <c r="V79" s="68">
        <f ca="1">SUMIF(Estimation!$A$168:$A203,$C79,Estimation!Z$168:Z$197)</f>
        <v>0</v>
      </c>
      <c r="W79" s="149"/>
      <c r="X79" s="68">
        <f ca="1">SUMIF(Estimation!$A$168:$A203,$C79,Estimation!AB$168:AB$197)</f>
        <v>0</v>
      </c>
      <c r="Y79" s="149"/>
      <c r="Z79" s="68">
        <f t="shared" ca="1" si="2"/>
        <v>0</v>
      </c>
      <c r="AA79" s="145"/>
      <c r="AB79" s="29"/>
    </row>
    <row r="80" spans="2:50" ht="8.25" customHeight="1" x14ac:dyDescent="0.25">
      <c r="C80" s="41"/>
      <c r="E80" s="146"/>
      <c r="F80" s="71"/>
      <c r="G80" s="146"/>
      <c r="H80" s="71"/>
      <c r="I80" s="146"/>
      <c r="J80" s="71"/>
      <c r="K80" s="146"/>
      <c r="L80" s="71"/>
      <c r="M80" s="146"/>
      <c r="N80" s="71"/>
      <c r="O80" s="146"/>
      <c r="P80" s="71"/>
      <c r="Q80" s="146"/>
      <c r="R80" s="71"/>
      <c r="S80" s="146"/>
      <c r="T80" s="71"/>
      <c r="U80" s="146"/>
      <c r="V80" s="71"/>
      <c r="W80" s="146"/>
      <c r="X80" s="71"/>
      <c r="Y80" s="146"/>
      <c r="Z80" s="71"/>
      <c r="AA80" s="146"/>
      <c r="AB80" s="29"/>
    </row>
    <row r="81" spans="2:50" x14ac:dyDescent="0.25">
      <c r="B81" s="41"/>
      <c r="C81" s="41"/>
      <c r="D81" s="158" t="s">
        <v>13</v>
      </c>
      <c r="E81" s="145"/>
      <c r="F81" s="40">
        <f>F78+F77+F76+F75+F74+F73</f>
        <v>0</v>
      </c>
      <c r="G81" s="145"/>
      <c r="H81" s="40">
        <f>H78+H77+H76+H75+H74+H73</f>
        <v>0</v>
      </c>
      <c r="I81" s="145"/>
      <c r="J81" s="40">
        <f ca="1">J78+J77+J76+J75+J74+J73</f>
        <v>0</v>
      </c>
      <c r="K81" s="145"/>
      <c r="L81" s="40">
        <f ca="1">L78+L77+L76+L75+L74+L73</f>
        <v>0</v>
      </c>
      <c r="M81" s="145"/>
      <c r="N81" s="40">
        <f ca="1">N78+N77+N76+N75+N74+N73</f>
        <v>0</v>
      </c>
      <c r="O81" s="145"/>
      <c r="P81" s="40">
        <f ca="1">P78+P77+P76+P75+P74+P73</f>
        <v>0</v>
      </c>
      <c r="Q81" s="145"/>
      <c r="R81" s="40">
        <f ca="1">R78+R77+R76+R75+R74+R73</f>
        <v>0</v>
      </c>
      <c r="S81" s="145"/>
      <c r="T81" s="40">
        <f ca="1">T78+T77+T76+T75+T74+T73</f>
        <v>0</v>
      </c>
      <c r="U81" s="145"/>
      <c r="V81" s="40">
        <f ca="1">V78+V77+V76+V75+V74+V73</f>
        <v>0</v>
      </c>
      <c r="W81" s="145"/>
      <c r="X81" s="40">
        <f ca="1">X78+X77+X76+X75+X74+X73</f>
        <v>0</v>
      </c>
      <c r="Y81" s="145"/>
      <c r="Z81" s="40">
        <f ca="1">SUM(F81:X81)</f>
        <v>0</v>
      </c>
      <c r="AA81" s="145"/>
      <c r="AB81" s="29"/>
    </row>
    <row r="82" spans="2:50" s="20" customFormat="1" x14ac:dyDescent="0.25">
      <c r="D82" s="144"/>
      <c r="E82" s="145"/>
      <c r="F82" s="40"/>
      <c r="G82" s="145"/>
      <c r="H82" s="40"/>
      <c r="I82" s="145"/>
      <c r="J82" s="40"/>
      <c r="K82" s="145"/>
      <c r="L82" s="40"/>
      <c r="M82" s="145"/>
      <c r="N82" s="40"/>
      <c r="O82" s="145"/>
      <c r="P82" s="40"/>
      <c r="Q82" s="145"/>
      <c r="R82" s="40"/>
      <c r="S82" s="145"/>
      <c r="T82" s="40"/>
      <c r="U82" s="145"/>
      <c r="V82" s="40"/>
      <c r="W82" s="145"/>
      <c r="X82" s="40"/>
      <c r="Y82" s="145"/>
      <c r="Z82" s="40"/>
      <c r="AA82" s="145"/>
      <c r="AB82" s="51"/>
      <c r="AD82" s="13"/>
      <c r="AE82" s="13"/>
      <c r="AF82" s="13"/>
      <c r="AG82" s="13"/>
      <c r="AH82" s="13"/>
      <c r="AI82" s="13"/>
      <c r="AJ82" s="13"/>
      <c r="AK82" s="13"/>
      <c r="AL82" s="13"/>
      <c r="AM82" s="13"/>
      <c r="AN82" s="13"/>
      <c r="AO82" s="13"/>
      <c r="AP82" s="13"/>
      <c r="AQ82" s="13"/>
      <c r="AR82" s="13"/>
      <c r="AS82" s="13"/>
      <c r="AT82" s="13"/>
      <c r="AU82" s="13"/>
      <c r="AV82" s="13"/>
      <c r="AW82" s="13"/>
      <c r="AX82" s="13"/>
    </row>
    <row r="83" spans="2:50" s="21" customFormat="1" x14ac:dyDescent="0.25">
      <c r="B83" s="159" t="s">
        <v>232</v>
      </c>
      <c r="C83" s="159"/>
      <c r="D83" s="160"/>
      <c r="E83" s="159"/>
      <c r="F83" s="161">
        <f>F81+F70+F65+F59+F54+F39</f>
        <v>0</v>
      </c>
      <c r="G83" s="161"/>
      <c r="H83" s="161">
        <f>H81+H70+H65+H59+H54+H39</f>
        <v>0</v>
      </c>
      <c r="I83" s="161"/>
      <c r="J83" s="161">
        <f ca="1">J81+J70+J65+J59+J54+J39</f>
        <v>0</v>
      </c>
      <c r="K83" s="161"/>
      <c r="L83" s="161">
        <f ca="1">L81+L70+L65+L59+L54+L39</f>
        <v>0</v>
      </c>
      <c r="M83" s="161"/>
      <c r="N83" s="161">
        <f ca="1">N81+N70+N65+N59+N54+N39</f>
        <v>0</v>
      </c>
      <c r="O83" s="162"/>
      <c r="P83" s="161">
        <f ca="1">P81+P70+P65+P59+P54+P39</f>
        <v>0</v>
      </c>
      <c r="Q83" s="162"/>
      <c r="R83" s="161">
        <f ca="1">R81+R70+R65+R59+R54+R39</f>
        <v>0</v>
      </c>
      <c r="S83" s="162"/>
      <c r="T83" s="161">
        <f ca="1">T81+T70+T65+T59+T54+T39</f>
        <v>0</v>
      </c>
      <c r="U83" s="162"/>
      <c r="V83" s="161">
        <f ca="1">V81+V70+V65+V59+V54+V39</f>
        <v>0</v>
      </c>
      <c r="W83" s="162"/>
      <c r="X83" s="161">
        <f ca="1">X81+X70+X65+X59+X54+X39</f>
        <v>0</v>
      </c>
      <c r="Y83" s="162"/>
      <c r="Z83" s="161">
        <f ca="1">SUM(N83+L83+J83+H83+F83+P83+R83+T83+V83+X83)</f>
        <v>0</v>
      </c>
      <c r="AA83" s="160"/>
      <c r="AC83" s="150">
        <f>Estimation!AD202</f>
        <v>0</v>
      </c>
      <c r="AD83" s="151" t="s">
        <v>231</v>
      </c>
      <c r="AE83" s="20"/>
      <c r="AF83" s="20"/>
      <c r="AG83" s="20"/>
      <c r="AH83" s="20"/>
      <c r="AI83" s="20"/>
      <c r="AJ83" s="20"/>
      <c r="AK83" s="20"/>
      <c r="AL83" s="20"/>
      <c r="AM83" s="20"/>
      <c r="AN83" s="20"/>
      <c r="AO83" s="20"/>
      <c r="AP83" s="20"/>
      <c r="AQ83" s="20"/>
      <c r="AR83" s="20"/>
      <c r="AS83" s="20"/>
      <c r="AT83" s="20"/>
      <c r="AU83" s="20"/>
      <c r="AV83" s="20"/>
      <c r="AW83" s="20"/>
      <c r="AX83" s="20"/>
    </row>
    <row r="84" spans="2:50" s="21" customFormat="1" x14ac:dyDescent="0.25">
      <c r="B84" s="154"/>
      <c r="C84" s="154"/>
      <c r="D84" s="155"/>
      <c r="E84" s="22"/>
      <c r="F84" s="33"/>
      <c r="G84" s="27"/>
      <c r="H84" s="33"/>
      <c r="I84" s="27"/>
      <c r="J84" s="33"/>
      <c r="K84" s="27"/>
      <c r="L84" s="33"/>
      <c r="M84" s="27"/>
      <c r="N84" s="33"/>
      <c r="O84" s="27"/>
      <c r="P84" s="33"/>
      <c r="Q84" s="27"/>
      <c r="R84" s="33"/>
      <c r="S84" s="27"/>
      <c r="T84" s="33"/>
      <c r="U84" s="27"/>
      <c r="V84" s="33"/>
      <c r="W84" s="27"/>
      <c r="X84" s="33"/>
      <c r="Y84" s="27"/>
      <c r="Z84" s="43"/>
      <c r="AA84" s="39"/>
      <c r="AC84" s="150"/>
      <c r="AD84" s="151"/>
    </row>
    <row r="85" spans="2:50" s="45" customFormat="1" x14ac:dyDescent="0.25">
      <c r="B85" s="79" t="s">
        <v>233</v>
      </c>
      <c r="C85" s="79"/>
      <c r="D85" s="163"/>
      <c r="E85" s="46"/>
      <c r="F85" s="80">
        <f>Estimation!J208</f>
        <v>0</v>
      </c>
      <c r="G85" s="164"/>
      <c r="H85" s="80">
        <f>Estimation!L208</f>
        <v>0</v>
      </c>
      <c r="I85" s="164"/>
      <c r="J85" s="80">
        <f>Estimation!N208</f>
        <v>0</v>
      </c>
      <c r="K85" s="164"/>
      <c r="L85" s="80">
        <f>Estimation!P208</f>
        <v>0</v>
      </c>
      <c r="M85" s="164"/>
      <c r="N85" s="80">
        <f>Estimation!R208</f>
        <v>0</v>
      </c>
      <c r="O85" s="164"/>
      <c r="P85" s="80">
        <f>Estimation!T208</f>
        <v>0</v>
      </c>
      <c r="Q85" s="164"/>
      <c r="R85" s="80">
        <f>Estimation!V208</f>
        <v>0</v>
      </c>
      <c r="S85" s="164"/>
      <c r="T85" s="80">
        <f>Estimation!X208</f>
        <v>0</v>
      </c>
      <c r="U85" s="164"/>
      <c r="V85" s="80">
        <f>Estimation!Z208</f>
        <v>0</v>
      </c>
      <c r="W85" s="164"/>
      <c r="X85" s="80">
        <f>Estimation!AB208</f>
        <v>0</v>
      </c>
      <c r="Y85" s="164"/>
      <c r="Z85" s="80">
        <f>SUM(F85:X85)</f>
        <v>0</v>
      </c>
      <c r="AA85" s="46"/>
      <c r="AB85" s="44"/>
      <c r="AC85" s="156">
        <f>Estimation!AD208</f>
        <v>0</v>
      </c>
      <c r="AD85" s="151" t="s">
        <v>231</v>
      </c>
      <c r="AE85" s="21"/>
      <c r="AF85" s="21"/>
      <c r="AG85" s="21"/>
      <c r="AH85" s="21"/>
      <c r="AI85" s="21"/>
      <c r="AJ85" s="21"/>
      <c r="AK85" s="21"/>
      <c r="AL85" s="21"/>
      <c r="AM85" s="21"/>
      <c r="AN85" s="21"/>
      <c r="AO85" s="21"/>
      <c r="AP85" s="21"/>
      <c r="AQ85" s="21"/>
      <c r="AR85" s="21"/>
      <c r="AS85" s="21"/>
      <c r="AT85" s="21"/>
      <c r="AU85" s="21"/>
      <c r="AV85" s="21"/>
      <c r="AW85" s="21"/>
      <c r="AX85" s="21"/>
    </row>
    <row r="86" spans="2:50" s="21" customFormat="1" x14ac:dyDescent="0.25">
      <c r="B86" s="157" t="str">
        <f>Estimation!E206&amp;" "&amp;Estimation!H206</f>
        <v xml:space="preserve"> MTDC</v>
      </c>
      <c r="D86" s="167">
        <f>Estimation!H207</f>
        <v>0.57499999999999996</v>
      </c>
      <c r="E86" s="33"/>
      <c r="F86" s="184">
        <f>Estimation!J206</f>
        <v>0</v>
      </c>
      <c r="G86" s="184"/>
      <c r="H86" s="184">
        <f>Estimation!L206</f>
        <v>0</v>
      </c>
      <c r="I86" s="184"/>
      <c r="J86" s="184">
        <f>Estimation!N206</f>
        <v>0</v>
      </c>
      <c r="K86" s="184"/>
      <c r="L86" s="184">
        <f>Estimation!P206</f>
        <v>0</v>
      </c>
      <c r="M86" s="184"/>
      <c r="N86" s="184">
        <f>Estimation!R206</f>
        <v>0</v>
      </c>
      <c r="O86" s="184"/>
      <c r="P86" s="184">
        <f>Estimation!T206</f>
        <v>0</v>
      </c>
      <c r="Q86" s="184"/>
      <c r="R86" s="184">
        <f>Estimation!V206</f>
        <v>0</v>
      </c>
      <c r="S86" s="184"/>
      <c r="T86" s="184">
        <f>Estimation!X206</f>
        <v>0</v>
      </c>
      <c r="U86" s="184"/>
      <c r="V86" s="184">
        <f>Estimation!Z206</f>
        <v>0</v>
      </c>
      <c r="W86" s="184"/>
      <c r="X86" s="184">
        <f>Estimation!AB206</f>
        <v>0</v>
      </c>
      <c r="Y86" s="184"/>
      <c r="Z86" s="185">
        <f>SUM(F86:X86)</f>
        <v>0</v>
      </c>
      <c r="AA86" s="29"/>
      <c r="AB86" s="29"/>
      <c r="AC86" s="33"/>
      <c r="AE86" s="45"/>
      <c r="AF86" s="45"/>
      <c r="AG86" s="45"/>
      <c r="AH86" s="45"/>
      <c r="AI86" s="45"/>
      <c r="AJ86" s="45"/>
      <c r="AK86" s="45"/>
      <c r="AL86" s="45"/>
      <c r="AM86" s="45"/>
      <c r="AN86" s="45"/>
      <c r="AO86" s="45"/>
      <c r="AP86" s="45"/>
      <c r="AQ86" s="45"/>
      <c r="AR86" s="45"/>
      <c r="AS86" s="45"/>
      <c r="AT86" s="45"/>
      <c r="AU86" s="45"/>
      <c r="AV86" s="45"/>
      <c r="AW86" s="45"/>
      <c r="AX86" s="45"/>
    </row>
    <row r="87" spans="2:50" s="76" customFormat="1" x14ac:dyDescent="0.25">
      <c r="C87" s="168" t="str">
        <f>Estimation!C207&amp;" "&amp;Estimation!C208</f>
        <v>Predetermined for the period 7/1/25-6/30/28: Provisional thereafter per HHS agreement dated 09/30/2025</v>
      </c>
      <c r="D87" s="77"/>
      <c r="E87" s="29"/>
      <c r="F87" s="152"/>
      <c r="G87" s="29"/>
      <c r="H87" s="152"/>
      <c r="I87" s="29"/>
      <c r="J87" s="152"/>
      <c r="K87" s="29"/>
      <c r="L87" s="152"/>
      <c r="M87" s="29"/>
      <c r="N87" s="152"/>
      <c r="O87" s="29"/>
      <c r="P87" s="152"/>
      <c r="Q87" s="29"/>
      <c r="R87" s="152"/>
      <c r="S87" s="29"/>
      <c r="T87" s="152"/>
      <c r="U87" s="29"/>
      <c r="V87" s="152"/>
      <c r="W87" s="29"/>
      <c r="X87" s="152"/>
      <c r="Y87" s="29"/>
      <c r="AA87" s="29"/>
      <c r="AB87" s="75"/>
      <c r="AC87" s="175"/>
      <c r="AE87" s="21"/>
      <c r="AF87" s="21"/>
      <c r="AG87" s="21"/>
      <c r="AH87" s="21"/>
      <c r="AI87" s="21"/>
      <c r="AJ87" s="21"/>
      <c r="AK87" s="21"/>
      <c r="AL87" s="21"/>
      <c r="AM87" s="21"/>
      <c r="AN87" s="21"/>
      <c r="AO87" s="21"/>
      <c r="AP87" s="21"/>
      <c r="AQ87" s="21"/>
      <c r="AR87" s="21"/>
      <c r="AS87" s="21"/>
      <c r="AT87" s="21"/>
      <c r="AU87" s="21"/>
      <c r="AV87" s="21"/>
      <c r="AW87" s="21"/>
      <c r="AX87" s="21"/>
    </row>
    <row r="88" spans="2:50" s="76" customFormat="1" ht="15.75" thickBot="1" x14ac:dyDescent="0.3">
      <c r="D88" s="77"/>
      <c r="E88" s="29"/>
      <c r="F88" s="152"/>
      <c r="G88" s="29"/>
      <c r="H88" s="152"/>
      <c r="I88" s="29"/>
      <c r="J88" s="152"/>
      <c r="K88" s="29"/>
      <c r="L88" s="152"/>
      <c r="M88" s="29"/>
      <c r="N88" s="152"/>
      <c r="O88" s="29"/>
      <c r="P88" s="152"/>
      <c r="Q88" s="29"/>
      <c r="R88" s="152"/>
      <c r="S88" s="29"/>
      <c r="T88" s="152"/>
      <c r="U88" s="29"/>
      <c r="V88" s="152"/>
      <c r="W88" s="29"/>
      <c r="X88" s="152"/>
      <c r="Y88" s="29"/>
      <c r="AA88" s="29"/>
      <c r="AB88" s="75"/>
      <c r="AC88" s="175"/>
    </row>
    <row r="89" spans="2:50" s="77" customFormat="1" ht="16.5" thickTop="1" thickBot="1" x14ac:dyDescent="0.3">
      <c r="B89" s="81" t="s">
        <v>234</v>
      </c>
      <c r="C89" s="81"/>
      <c r="D89" s="47"/>
      <c r="E89" s="81"/>
      <c r="F89" s="48">
        <f>F85+F83</f>
        <v>0</v>
      </c>
      <c r="G89" s="48"/>
      <c r="H89" s="48">
        <f>H85+H83</f>
        <v>0</v>
      </c>
      <c r="I89" s="48"/>
      <c r="J89" s="48">
        <f ca="1">J85+J83</f>
        <v>0</v>
      </c>
      <c r="K89" s="48"/>
      <c r="L89" s="48">
        <f ca="1">L85+L83</f>
        <v>0</v>
      </c>
      <c r="M89" s="48"/>
      <c r="N89" s="48">
        <f ca="1">N85+N83</f>
        <v>0</v>
      </c>
      <c r="O89" s="49"/>
      <c r="P89" s="48">
        <f ca="1">P85+P83</f>
        <v>0</v>
      </c>
      <c r="Q89" s="49"/>
      <c r="R89" s="48">
        <f ca="1">R85+R83</f>
        <v>0</v>
      </c>
      <c r="S89" s="49"/>
      <c r="T89" s="48">
        <f ca="1">T85+T83</f>
        <v>0</v>
      </c>
      <c r="U89" s="49"/>
      <c r="V89" s="48">
        <f ca="1">V85+V83</f>
        <v>0</v>
      </c>
      <c r="W89" s="49"/>
      <c r="X89" s="48">
        <f ca="1">X85+X83</f>
        <v>0</v>
      </c>
      <c r="Y89" s="49"/>
      <c r="Z89" s="48">
        <f ca="1">F89+H89+J89+L89+N89+P89+R89+T89+V89+X89</f>
        <v>0</v>
      </c>
      <c r="AA89" s="47"/>
      <c r="AC89" s="82">
        <f>Estimation!G217</f>
        <v>0</v>
      </c>
      <c r="AD89" s="151" t="s">
        <v>231</v>
      </c>
      <c r="AE89" s="76"/>
      <c r="AF89" s="76"/>
      <c r="AG89" s="76"/>
      <c r="AH89" s="76"/>
      <c r="AI89" s="76"/>
      <c r="AJ89" s="76"/>
      <c r="AK89" s="76"/>
      <c r="AL89" s="76"/>
      <c r="AM89" s="76"/>
      <c r="AN89" s="76"/>
      <c r="AO89" s="76"/>
      <c r="AP89" s="76"/>
      <c r="AQ89" s="76"/>
      <c r="AR89" s="76"/>
      <c r="AS89" s="76"/>
      <c r="AT89" s="76"/>
      <c r="AU89" s="76"/>
      <c r="AV89" s="76"/>
      <c r="AW89" s="76"/>
      <c r="AX89" s="76"/>
    </row>
    <row r="90" spans="2:50" ht="16.5" thickTop="1" thickBot="1" x14ac:dyDescent="0.3">
      <c r="B90" s="31"/>
      <c r="C90" s="31"/>
      <c r="D90" s="143" t="s">
        <v>220</v>
      </c>
      <c r="E90" s="77"/>
      <c r="F90" s="78"/>
      <c r="G90" s="78"/>
      <c r="H90" s="78"/>
      <c r="I90" s="78"/>
      <c r="J90" s="78"/>
      <c r="K90" s="78"/>
      <c r="L90" s="78"/>
      <c r="M90" s="78"/>
      <c r="N90" s="78"/>
      <c r="O90" s="78"/>
      <c r="P90" s="78"/>
      <c r="Q90" s="78"/>
      <c r="R90" s="78"/>
      <c r="S90" s="78"/>
      <c r="T90" s="78"/>
      <c r="U90" s="78"/>
      <c r="V90" s="78"/>
      <c r="W90" s="78"/>
      <c r="X90" s="78"/>
      <c r="Y90" s="78"/>
      <c r="Z90" s="78"/>
      <c r="AA90" s="77"/>
      <c r="AC90" s="68"/>
      <c r="AE90" s="77"/>
      <c r="AF90" s="77"/>
      <c r="AG90" s="77"/>
      <c r="AH90" s="77"/>
      <c r="AI90" s="77"/>
      <c r="AJ90" s="77"/>
      <c r="AK90" s="77"/>
      <c r="AL90" s="77"/>
      <c r="AM90" s="77"/>
      <c r="AN90" s="77"/>
      <c r="AO90" s="77"/>
      <c r="AP90" s="77"/>
      <c r="AQ90" s="77"/>
      <c r="AR90" s="77"/>
      <c r="AS90" s="77"/>
      <c r="AT90" s="77"/>
      <c r="AU90" s="77"/>
      <c r="AV90" s="77"/>
      <c r="AW90" s="77"/>
      <c r="AX90" s="77"/>
    </row>
    <row r="91" spans="2:50" s="77" customFormat="1" ht="16.5" thickTop="1" thickBot="1" x14ac:dyDescent="0.3">
      <c r="B91" s="81" t="s">
        <v>56</v>
      </c>
      <c r="C91" s="81"/>
      <c r="D91" s="47"/>
      <c r="E91" s="81"/>
      <c r="F91" s="48">
        <f>Estimation!AF210</f>
        <v>0</v>
      </c>
      <c r="G91" s="48"/>
      <c r="H91" s="48">
        <f>Estimation!AH210</f>
        <v>0</v>
      </c>
      <c r="I91" s="48"/>
      <c r="J91" s="48">
        <f>Estimation!AJ210</f>
        <v>0</v>
      </c>
      <c r="K91" s="48"/>
      <c r="L91" s="48">
        <f>Estimation!AL210</f>
        <v>0</v>
      </c>
      <c r="M91" s="48"/>
      <c r="N91" s="48">
        <f>Estimation!AN210</f>
        <v>0</v>
      </c>
      <c r="O91" s="49"/>
      <c r="P91" s="48">
        <f>Estimation!AP210</f>
        <v>0</v>
      </c>
      <c r="Q91" s="49"/>
      <c r="R91" s="48">
        <f>Estimation!AR210</f>
        <v>0</v>
      </c>
      <c r="S91" s="49"/>
      <c r="T91" s="48">
        <f>Estimation!AT210</f>
        <v>0</v>
      </c>
      <c r="U91" s="49"/>
      <c r="V91" s="48">
        <f>Estimation!AV210</f>
        <v>0</v>
      </c>
      <c r="W91" s="49"/>
      <c r="X91" s="48">
        <f>Estimation!AX210</f>
        <v>0</v>
      </c>
      <c r="Y91" s="49"/>
      <c r="Z91" s="48">
        <f>F91+H91+J91+L91+N91+P91+R91+T91+V91+X91</f>
        <v>0</v>
      </c>
      <c r="AA91" s="47"/>
      <c r="AC91" s="82">
        <f>Estimation!AZ210</f>
        <v>0</v>
      </c>
      <c r="AD91" s="151" t="s">
        <v>231</v>
      </c>
      <c r="AE91" s="13"/>
      <c r="AF91" s="13"/>
      <c r="AG91" s="13"/>
      <c r="AH91" s="13"/>
      <c r="AI91" s="13"/>
      <c r="AJ91" s="13"/>
      <c r="AK91" s="13"/>
      <c r="AL91" s="13"/>
      <c r="AM91" s="13"/>
      <c r="AN91" s="13"/>
      <c r="AO91" s="13"/>
      <c r="AP91" s="13"/>
      <c r="AQ91" s="13"/>
      <c r="AR91" s="13"/>
      <c r="AS91" s="13"/>
      <c r="AT91" s="13"/>
      <c r="AU91" s="13"/>
      <c r="AV91" s="13"/>
      <c r="AW91" s="13"/>
      <c r="AX91" s="13"/>
    </row>
    <row r="92" spans="2:50" s="77" customFormat="1" ht="15.75" thickTop="1" x14ac:dyDescent="0.25">
      <c r="F92" s="78"/>
      <c r="G92" s="78"/>
      <c r="H92" s="78"/>
      <c r="I92" s="78"/>
      <c r="J92" s="78"/>
      <c r="K92" s="78"/>
      <c r="L92" s="78"/>
      <c r="M92" s="78"/>
      <c r="N92" s="78"/>
      <c r="O92" s="78"/>
      <c r="P92" s="78"/>
      <c r="Q92" s="78"/>
      <c r="R92" s="78"/>
      <c r="S92" s="78"/>
      <c r="T92" s="78"/>
      <c r="U92" s="78"/>
      <c r="V92" s="78"/>
      <c r="W92" s="78"/>
      <c r="X92" s="78"/>
      <c r="Y92" s="78"/>
      <c r="Z92" s="78"/>
    </row>
    <row r="93" spans="2:50" x14ac:dyDescent="0.25">
      <c r="B93" s="153" t="str">
        <f>("UEI: "&amp;'Freq. Needed Info. '!F25)</f>
        <v>UEI: SPVKK1RC2MZ3</v>
      </c>
      <c r="D93" s="41"/>
      <c r="E93" s="13"/>
      <c r="AE93" s="77"/>
      <c r="AF93" s="77"/>
      <c r="AG93" s="77"/>
      <c r="AH93" s="77"/>
      <c r="AI93" s="77"/>
      <c r="AJ93" s="77"/>
      <c r="AK93" s="77"/>
      <c r="AL93" s="77"/>
      <c r="AM93" s="77"/>
      <c r="AN93" s="77"/>
      <c r="AO93" s="77"/>
      <c r="AP93" s="77"/>
      <c r="AQ93" s="77"/>
      <c r="AR93" s="77"/>
      <c r="AS93" s="77"/>
      <c r="AT93" s="77"/>
      <c r="AU93" s="77"/>
      <c r="AV93" s="77"/>
      <c r="AW93" s="77"/>
      <c r="AX93" s="77"/>
    </row>
    <row r="94" spans="2:50" x14ac:dyDescent="0.25">
      <c r="B94" s="153" t="str">
        <f>("Cognizant Agency: "&amp;'Freq. Needed Info. '!F60)</f>
        <v xml:space="preserve">Cognizant Agency: Lucy Siow 
Branch Chief 
lucy.siow@psc.hhs.gov 
(301) 492-4891 </v>
      </c>
      <c r="C94" s="153"/>
      <c r="D94" s="41"/>
      <c r="E94" s="13"/>
    </row>
    <row r="95" spans="2:50" x14ac:dyDescent="0.25">
      <c r="E95" s="13"/>
    </row>
    <row r="96" spans="2:50" x14ac:dyDescent="0.25">
      <c r="D96" s="41"/>
      <c r="E96" s="13"/>
    </row>
    <row r="97" spans="4:5" x14ac:dyDescent="0.25">
      <c r="E97" s="13"/>
    </row>
    <row r="98" spans="4:5" x14ac:dyDescent="0.25">
      <c r="D98" s="41"/>
      <c r="E98" s="13"/>
    </row>
    <row r="99" spans="4:5" x14ac:dyDescent="0.25">
      <c r="E99" s="13"/>
    </row>
    <row r="100" spans="4:5" x14ac:dyDescent="0.25">
      <c r="D100" s="41"/>
      <c r="E100" s="13"/>
    </row>
    <row r="101" spans="4:5" x14ac:dyDescent="0.25">
      <c r="E101" s="13"/>
    </row>
    <row r="102" spans="4:5" x14ac:dyDescent="0.25">
      <c r="E102" s="13"/>
    </row>
    <row r="103" spans="4:5" x14ac:dyDescent="0.25">
      <c r="E103" s="13"/>
    </row>
    <row r="104" spans="4:5" x14ac:dyDescent="0.25">
      <c r="E104" s="13"/>
    </row>
    <row r="105" spans="4:5" x14ac:dyDescent="0.25">
      <c r="E105" s="13"/>
    </row>
    <row r="106" spans="4:5" x14ac:dyDescent="0.25">
      <c r="E106" s="13"/>
    </row>
    <row r="107" spans="4:5" x14ac:dyDescent="0.25">
      <c r="E107" s="13"/>
    </row>
    <row r="108" spans="4:5" x14ac:dyDescent="0.25">
      <c r="E108" s="13"/>
    </row>
    <row r="109" spans="4:5" x14ac:dyDescent="0.25">
      <c r="E109" s="13"/>
    </row>
    <row r="110" spans="4:5" x14ac:dyDescent="0.25">
      <c r="E110" s="13"/>
    </row>
    <row r="111" spans="4:5" x14ac:dyDescent="0.25">
      <c r="D111" s="142"/>
      <c r="E111" s="13"/>
    </row>
    <row r="112" spans="4:5" x14ac:dyDescent="0.25">
      <c r="D112" s="142"/>
      <c r="E112" s="13"/>
    </row>
    <row r="113" spans="4:5" x14ac:dyDescent="0.25">
      <c r="D113" s="142"/>
      <c r="E113" s="13"/>
    </row>
    <row r="114" spans="4:5" x14ac:dyDescent="0.25">
      <c r="D114" s="142"/>
    </row>
    <row r="115" spans="4:5" x14ac:dyDescent="0.25">
      <c r="D115" s="142"/>
    </row>
    <row r="116" spans="4:5" x14ac:dyDescent="0.25">
      <c r="D116" s="142"/>
    </row>
    <row r="117" spans="4:5" x14ac:dyDescent="0.25">
      <c r="D117" s="142"/>
    </row>
    <row r="118" spans="4:5" x14ac:dyDescent="0.25">
      <c r="D118" s="142"/>
    </row>
    <row r="119" spans="4:5" x14ac:dyDescent="0.25">
      <c r="D119" s="142"/>
    </row>
    <row r="120" spans="4:5" x14ac:dyDescent="0.25">
      <c r="D120" s="142"/>
    </row>
    <row r="121" spans="4:5" x14ac:dyDescent="0.25">
      <c r="D121" s="142"/>
    </row>
    <row r="122" spans="4:5" x14ac:dyDescent="0.25">
      <c r="D122" s="142"/>
    </row>
    <row r="123" spans="4:5" x14ac:dyDescent="0.25">
      <c r="D123" s="142"/>
    </row>
    <row r="124" spans="4:5" x14ac:dyDescent="0.25">
      <c r="D124" s="142"/>
    </row>
    <row r="125" spans="4:5" x14ac:dyDescent="0.25">
      <c r="D125" s="142"/>
    </row>
    <row r="126" spans="4:5" x14ac:dyDescent="0.25">
      <c r="D126" s="142"/>
    </row>
    <row r="128" spans="4:5" x14ac:dyDescent="0.25">
      <c r="D128" s="41"/>
    </row>
    <row r="129" spans="4:4" x14ac:dyDescent="0.25">
      <c r="D129" s="41"/>
    </row>
    <row r="130" spans="4:4" x14ac:dyDescent="0.25">
      <c r="D130" s="41"/>
    </row>
    <row r="131" spans="4:4" x14ac:dyDescent="0.25">
      <c r="D131" s="41"/>
    </row>
    <row r="132" spans="4:4" x14ac:dyDescent="0.25">
      <c r="D132" s="41"/>
    </row>
    <row r="133" spans="4:4" x14ac:dyDescent="0.25">
      <c r="D133" s="41"/>
    </row>
    <row r="134" spans="4:4" x14ac:dyDescent="0.25">
      <c r="D134" s="41"/>
    </row>
    <row r="135" spans="4:4" x14ac:dyDescent="0.25">
      <c r="D135" s="41"/>
    </row>
    <row r="235" spans="2:50" s="31" customFormat="1" x14ac:dyDescent="0.25">
      <c r="B235" s="13"/>
      <c r="C235" s="13"/>
      <c r="D235" s="13"/>
      <c r="E235" s="15"/>
      <c r="F235" s="13"/>
      <c r="AE235" s="13"/>
      <c r="AF235" s="13"/>
      <c r="AG235" s="13"/>
      <c r="AH235" s="13"/>
      <c r="AI235" s="13"/>
      <c r="AJ235" s="13"/>
      <c r="AK235" s="13"/>
      <c r="AL235" s="13"/>
      <c r="AM235" s="13"/>
      <c r="AN235" s="13"/>
      <c r="AO235" s="13"/>
      <c r="AP235" s="13"/>
      <c r="AQ235" s="13"/>
      <c r="AR235" s="13"/>
      <c r="AS235" s="13"/>
      <c r="AT235" s="13"/>
      <c r="AU235" s="13"/>
      <c r="AV235" s="13"/>
      <c r="AW235" s="13"/>
      <c r="AX235" s="13"/>
    </row>
    <row r="236" spans="2:50" s="31" customFormat="1" x14ac:dyDescent="0.25">
      <c r="B236" s="13"/>
      <c r="C236" s="13"/>
      <c r="D236" s="13"/>
      <c r="E236" s="15"/>
      <c r="F236" s="13"/>
    </row>
    <row r="237" spans="2:50" s="31" customFormat="1" x14ac:dyDescent="0.25">
      <c r="D237" s="13"/>
      <c r="E237" s="15"/>
    </row>
    <row r="238" spans="2:50" s="31" customFormat="1" x14ac:dyDescent="0.25">
      <c r="D238" s="13"/>
      <c r="E238" s="15"/>
    </row>
    <row r="239" spans="2:50" x14ac:dyDescent="0.25">
      <c r="D239" s="31"/>
      <c r="E239" s="52"/>
      <c r="AE239" s="31"/>
      <c r="AF239" s="31"/>
      <c r="AG239" s="31"/>
      <c r="AH239" s="31"/>
      <c r="AI239" s="31"/>
      <c r="AJ239" s="31"/>
      <c r="AK239" s="31"/>
      <c r="AL239" s="31"/>
      <c r="AM239" s="31"/>
      <c r="AN239" s="31"/>
      <c r="AO239" s="31"/>
      <c r="AP239" s="31"/>
      <c r="AQ239" s="31"/>
      <c r="AR239" s="31"/>
      <c r="AS239" s="31"/>
      <c r="AT239" s="31"/>
      <c r="AU239" s="31"/>
      <c r="AV239" s="31"/>
      <c r="AW239" s="31"/>
      <c r="AX239" s="31"/>
    </row>
    <row r="240" spans="2:50" x14ac:dyDescent="0.25">
      <c r="D240" s="31"/>
      <c r="E240" s="52"/>
    </row>
  </sheetData>
  <sheetProtection formatCells="0" formatColumns="0" formatRows="0"/>
  <mergeCells count="10">
    <mergeCell ref="M9:P9"/>
    <mergeCell ref="M11:P11"/>
    <mergeCell ref="AD13:AY13"/>
    <mergeCell ref="C9:H12"/>
    <mergeCell ref="A3:AA3"/>
    <mergeCell ref="E5:H5"/>
    <mergeCell ref="E6:H6"/>
    <mergeCell ref="E7:H7"/>
    <mergeCell ref="M5:P5"/>
    <mergeCell ref="M6:P6"/>
  </mergeCells>
  <pageMargins left="0.38" right="0.31" top="0.34" bottom="0.47" header="0.3" footer="0.3"/>
  <pageSetup scale="82" orientation="portrait" r:id="rId1"/>
  <ignoredErrors>
    <ignoredError sqref="F78" formula="1"/>
  </ignoredErrors>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L51"/>
  <sheetViews>
    <sheetView zoomScaleNormal="100" workbookViewId="0">
      <selection activeCell="O18" sqref="O18"/>
    </sheetView>
  </sheetViews>
  <sheetFormatPr defaultRowHeight="15.75" x14ac:dyDescent="0.25"/>
  <cols>
    <col min="1" max="1" width="20.5" customWidth="1"/>
    <col min="5" max="5" width="7.125" customWidth="1"/>
    <col min="6" max="6" width="11.5" customWidth="1"/>
  </cols>
  <sheetData>
    <row r="1" spans="1:12" ht="53.45" customHeight="1" x14ac:dyDescent="0.25">
      <c r="A1" s="435" t="s">
        <v>94</v>
      </c>
      <c r="B1" s="435"/>
      <c r="C1" s="435"/>
      <c r="D1" s="435"/>
      <c r="E1" s="435"/>
      <c r="F1" s="435"/>
      <c r="G1" s="435"/>
      <c r="H1" s="435"/>
      <c r="I1" s="435"/>
      <c r="J1" s="435"/>
      <c r="K1" s="435"/>
      <c r="L1" s="435"/>
    </row>
    <row r="2" spans="1:12" ht="5.0999999999999996" customHeight="1" x14ac:dyDescent="0.25">
      <c r="A2" s="296"/>
      <c r="B2" s="293"/>
      <c r="C2" s="293"/>
      <c r="D2" s="293"/>
      <c r="E2" s="298"/>
      <c r="F2" s="298"/>
      <c r="G2" s="294"/>
      <c r="H2" s="294"/>
      <c r="I2" s="294"/>
      <c r="J2" s="294"/>
      <c r="L2" s="289"/>
    </row>
    <row r="3" spans="1:12" ht="15" customHeight="1" x14ac:dyDescent="0.25">
      <c r="A3" s="440" t="s">
        <v>317</v>
      </c>
      <c r="B3" s="441"/>
      <c r="C3" s="441"/>
      <c r="D3" s="441"/>
      <c r="E3" s="441"/>
      <c r="F3" s="441"/>
      <c r="G3" s="441"/>
      <c r="H3" s="441"/>
      <c r="I3" s="441"/>
      <c r="J3" s="441"/>
      <c r="K3" s="441"/>
      <c r="L3" s="442"/>
    </row>
    <row r="4" spans="1:12" ht="15.6" customHeight="1" x14ac:dyDescent="0.25">
      <c r="A4" s="295" t="s">
        <v>50</v>
      </c>
      <c r="B4" s="452" t="str">
        <f>IF(Estimation!E12=0, "", Estimation!E12)</f>
        <v/>
      </c>
      <c r="C4" s="452"/>
      <c r="D4" s="452"/>
      <c r="E4" s="290"/>
      <c r="F4" s="297" t="s">
        <v>115</v>
      </c>
      <c r="G4" s="453"/>
      <c r="H4" s="453"/>
      <c r="I4" s="309" t="s">
        <v>97</v>
      </c>
      <c r="K4" s="467" t="str">
        <f>IF(Estimation!E1=0, "", Estimation!E1)</f>
        <v/>
      </c>
      <c r="L4" s="467"/>
    </row>
    <row r="5" spans="1:12" ht="5.0999999999999996" customHeight="1" x14ac:dyDescent="0.25">
      <c r="A5" s="296"/>
      <c r="B5" s="293"/>
      <c r="C5" s="293"/>
      <c r="D5" s="293"/>
      <c r="E5" s="298"/>
      <c r="F5" s="298"/>
      <c r="G5" s="294"/>
      <c r="H5" s="294"/>
      <c r="I5" s="294"/>
      <c r="J5" s="294"/>
      <c r="K5" s="291"/>
      <c r="L5" s="289"/>
    </row>
    <row r="6" spans="1:12" ht="30.6" customHeight="1" x14ac:dyDescent="0.25">
      <c r="A6" s="296" t="s">
        <v>96</v>
      </c>
      <c r="B6" s="455" t="str">
        <f>IF(Estimation!D9=0, "", Estimation!D9)</f>
        <v/>
      </c>
      <c r="C6" s="455"/>
      <c r="D6" s="455"/>
      <c r="E6" s="455"/>
      <c r="F6" s="455"/>
      <c r="G6" s="455"/>
      <c r="H6" s="455"/>
      <c r="I6" s="455"/>
      <c r="J6" s="455"/>
      <c r="K6" s="455"/>
      <c r="L6" s="455"/>
    </row>
    <row r="7" spans="1:12" ht="5.0999999999999996" customHeight="1" x14ac:dyDescent="0.25">
      <c r="A7" s="296"/>
      <c r="B7" s="293"/>
      <c r="C7" s="293"/>
      <c r="D7" s="293"/>
      <c r="E7" s="298"/>
      <c r="F7" s="298"/>
      <c r="G7" s="294"/>
      <c r="H7" s="294"/>
      <c r="I7" s="294"/>
      <c r="J7" s="294"/>
      <c r="K7" s="291"/>
      <c r="L7" s="289"/>
    </row>
    <row r="8" spans="1:12" x14ac:dyDescent="0.25">
      <c r="A8" s="296" t="s">
        <v>95</v>
      </c>
      <c r="B8" s="466" t="str">
        <f>IF(Estimation!E4=0, "", Estimation!E4)</f>
        <v/>
      </c>
      <c r="C8" s="466"/>
      <c r="D8" s="466"/>
      <c r="E8" s="454" t="s">
        <v>318</v>
      </c>
      <c r="F8" s="454"/>
      <c r="G8" s="468" t="str">
        <f>IF(Estimation!E18=0, "", Estimation!E18)</f>
        <v/>
      </c>
      <c r="H8" s="469"/>
      <c r="I8" s="469"/>
      <c r="J8" s="469"/>
    </row>
    <row r="9" spans="1:12" ht="5.0999999999999996" customHeight="1" x14ac:dyDescent="0.25">
      <c r="A9" s="296"/>
      <c r="B9" s="293"/>
      <c r="C9" s="293"/>
      <c r="D9" s="293"/>
      <c r="E9" s="298"/>
      <c r="F9" s="298"/>
      <c r="G9" s="294"/>
      <c r="H9" s="294"/>
      <c r="I9" s="294"/>
      <c r="J9" s="294"/>
      <c r="L9" s="289"/>
    </row>
    <row r="10" spans="1:12" x14ac:dyDescent="0.25">
      <c r="E10" s="293"/>
      <c r="F10" s="305"/>
      <c r="G10" s="470" t="s">
        <v>111</v>
      </c>
      <c r="H10" s="470"/>
      <c r="I10" s="308"/>
      <c r="J10" s="470" t="s">
        <v>112</v>
      </c>
      <c r="K10" s="471"/>
      <c r="L10" s="292"/>
    </row>
    <row r="11" spans="1:12" ht="5.0999999999999996" customHeight="1" x14ac:dyDescent="0.25">
      <c r="A11" s="296"/>
      <c r="B11" s="293"/>
      <c r="C11" s="293"/>
      <c r="D11" s="293"/>
      <c r="E11" s="298"/>
      <c r="F11" s="299"/>
      <c r="H11" s="294"/>
      <c r="I11" s="294"/>
      <c r="J11" s="294"/>
      <c r="K11" s="307"/>
      <c r="L11" s="289"/>
    </row>
    <row r="12" spans="1:12" x14ac:dyDescent="0.25">
      <c r="A12" s="296" t="s">
        <v>319</v>
      </c>
      <c r="B12" s="448" t="str">
        <f>Estimation!H206</f>
        <v>MTDC</v>
      </c>
      <c r="C12" s="449"/>
      <c r="D12" s="449"/>
      <c r="E12" s="290"/>
      <c r="F12" s="304" t="s">
        <v>108</v>
      </c>
      <c r="G12" s="472">
        <f>Estimation!J202</f>
        <v>0</v>
      </c>
      <c r="H12" s="472"/>
      <c r="I12" s="302"/>
      <c r="J12" s="472">
        <f>Estimation!AD202</f>
        <v>0</v>
      </c>
      <c r="K12" s="473"/>
      <c r="L12" s="292"/>
    </row>
    <row r="13" spans="1:12" ht="5.0999999999999996" customHeight="1" x14ac:dyDescent="0.25">
      <c r="A13" s="296"/>
      <c r="B13" s="293"/>
      <c r="C13" s="293"/>
      <c r="D13" s="293"/>
      <c r="E13" s="298"/>
      <c r="F13" s="299"/>
      <c r="H13" s="294"/>
      <c r="I13" s="294"/>
      <c r="J13" s="294"/>
      <c r="K13" s="307"/>
      <c r="L13" s="289"/>
    </row>
    <row r="14" spans="1:12" x14ac:dyDescent="0.25">
      <c r="A14" s="296" t="s">
        <v>320</v>
      </c>
      <c r="B14" s="450">
        <f>Estimation!H207</f>
        <v>0.57499999999999996</v>
      </c>
      <c r="C14" s="451"/>
      <c r="D14" s="451"/>
      <c r="E14" s="290"/>
      <c r="F14" s="304" t="s">
        <v>109</v>
      </c>
      <c r="G14" s="472">
        <f>Estimation!J208</f>
        <v>0</v>
      </c>
      <c r="H14" s="472"/>
      <c r="I14" s="300"/>
      <c r="J14" s="474">
        <f>Estimation!AD208</f>
        <v>0</v>
      </c>
      <c r="K14" s="475"/>
      <c r="L14" s="292"/>
    </row>
    <row r="15" spans="1:12" ht="5.0999999999999996" customHeight="1" x14ac:dyDescent="0.25">
      <c r="A15" s="296"/>
      <c r="B15" s="293"/>
      <c r="C15" s="293"/>
      <c r="D15" s="293"/>
      <c r="E15" s="298"/>
      <c r="F15" s="299"/>
      <c r="H15" s="294"/>
      <c r="I15" s="294"/>
      <c r="J15" s="294"/>
      <c r="K15" s="307"/>
      <c r="L15" s="289"/>
    </row>
    <row r="16" spans="1:12" x14ac:dyDescent="0.25">
      <c r="A16" s="296" t="s">
        <v>321</v>
      </c>
      <c r="B16" s="296"/>
      <c r="C16" s="296"/>
      <c r="D16" s="296"/>
      <c r="E16" s="296"/>
      <c r="F16" s="304" t="s">
        <v>24</v>
      </c>
      <c r="G16" s="444">
        <f>Estimation!J210</f>
        <v>0</v>
      </c>
      <c r="H16" s="444"/>
      <c r="J16" s="444">
        <f>Estimation!AD210</f>
        <v>0</v>
      </c>
      <c r="K16" s="445"/>
      <c r="L16" s="292"/>
    </row>
    <row r="17" spans="1:12" ht="5.0999999999999996" customHeight="1" x14ac:dyDescent="0.25">
      <c r="A17" s="296"/>
      <c r="B17" s="293"/>
      <c r="C17" s="293"/>
      <c r="D17" s="293"/>
      <c r="E17" s="298"/>
      <c r="F17" s="299"/>
      <c r="H17" s="294"/>
      <c r="I17" s="294"/>
      <c r="J17" s="294"/>
      <c r="K17" s="307"/>
      <c r="L17" s="289"/>
    </row>
    <row r="18" spans="1:12" x14ac:dyDescent="0.25">
      <c r="A18" s="301" t="s">
        <v>323</v>
      </c>
      <c r="B18" s="290" t="s">
        <v>322</v>
      </c>
      <c r="D18" s="290"/>
      <c r="E18" s="290"/>
      <c r="F18" s="306" t="s">
        <v>110</v>
      </c>
      <c r="G18" s="444">
        <f>Estimation!AF210</f>
        <v>0</v>
      </c>
      <c r="H18" s="444"/>
      <c r="I18" s="303"/>
      <c r="J18" s="446">
        <f>Estimation!AZ210</f>
        <v>0</v>
      </c>
      <c r="K18" s="447"/>
      <c r="L18" s="290"/>
    </row>
    <row r="19" spans="1:12" ht="5.0999999999999996" customHeight="1" x14ac:dyDescent="0.25">
      <c r="A19" s="296"/>
      <c r="B19" s="293"/>
      <c r="C19" s="293"/>
      <c r="D19" s="293"/>
      <c r="E19" s="298"/>
      <c r="F19" s="298"/>
      <c r="H19" s="294"/>
      <c r="I19" s="294"/>
      <c r="J19" s="294"/>
      <c r="K19" s="289"/>
      <c r="L19" s="289"/>
    </row>
    <row r="20" spans="1:12" ht="15" customHeight="1" x14ac:dyDescent="0.25">
      <c r="A20" s="440" t="s">
        <v>324</v>
      </c>
      <c r="B20" s="441"/>
      <c r="C20" s="441"/>
      <c r="D20" s="441"/>
      <c r="E20" s="441"/>
      <c r="F20" s="441"/>
      <c r="G20" s="441"/>
      <c r="H20" s="441"/>
      <c r="I20" s="441"/>
      <c r="J20" s="441"/>
      <c r="K20" s="441"/>
      <c r="L20" s="442"/>
    </row>
    <row r="21" spans="1:12" ht="74.099999999999994" customHeight="1" x14ac:dyDescent="0.25">
      <c r="A21" s="436" t="s">
        <v>325</v>
      </c>
      <c r="B21" s="437"/>
      <c r="C21" s="437"/>
      <c r="D21" s="437"/>
      <c r="E21" s="437"/>
      <c r="F21" s="437"/>
      <c r="G21" s="437"/>
      <c r="H21" s="437"/>
      <c r="I21" s="437"/>
      <c r="J21" s="437"/>
      <c r="K21" s="437"/>
      <c r="L21" s="438"/>
    </row>
    <row r="22" spans="1:12" x14ac:dyDescent="0.25">
      <c r="A22" s="439" t="s">
        <v>99</v>
      </c>
      <c r="B22" s="439"/>
      <c r="C22" s="439"/>
      <c r="D22" s="439"/>
      <c r="E22" s="439"/>
      <c r="F22" s="439"/>
      <c r="G22" s="439"/>
      <c r="H22" s="439"/>
      <c r="I22" s="439"/>
      <c r="J22" s="439"/>
      <c r="K22" s="439"/>
      <c r="L22" s="439"/>
    </row>
    <row r="23" spans="1:12" x14ac:dyDescent="0.25">
      <c r="A23" s="443" t="s">
        <v>100</v>
      </c>
      <c r="B23" s="443"/>
      <c r="C23" s="443"/>
      <c r="D23" s="443"/>
      <c r="E23" s="443"/>
      <c r="F23" s="443"/>
      <c r="G23" s="443"/>
      <c r="H23" s="443"/>
      <c r="I23" s="443"/>
      <c r="J23" s="443"/>
      <c r="K23" s="443"/>
      <c r="L23" s="443"/>
    </row>
    <row r="24" spans="1:12" ht="15.6" customHeight="1" x14ac:dyDescent="0.25">
      <c r="A24" s="458" t="s">
        <v>113</v>
      </c>
      <c r="B24" s="458"/>
      <c r="C24" s="458"/>
      <c r="D24" s="458"/>
      <c r="E24" s="458"/>
      <c r="F24" s="458"/>
      <c r="G24" s="458"/>
      <c r="H24" s="458"/>
      <c r="I24" s="458"/>
      <c r="J24" s="458"/>
      <c r="K24" s="458"/>
      <c r="L24" s="458"/>
    </row>
    <row r="25" spans="1:12" ht="15.6" customHeight="1" x14ac:dyDescent="0.25">
      <c r="A25" s="458" t="s">
        <v>101</v>
      </c>
      <c r="B25" s="458"/>
      <c r="C25" s="458"/>
      <c r="D25" s="458"/>
      <c r="E25" s="458"/>
      <c r="F25" s="458"/>
      <c r="G25" s="458"/>
      <c r="H25" s="458"/>
      <c r="I25" s="458"/>
      <c r="J25" s="458"/>
      <c r="K25" s="458"/>
      <c r="L25" s="458"/>
    </row>
    <row r="26" spans="1:12" ht="15.6" customHeight="1" x14ac:dyDescent="0.25">
      <c r="A26" s="459" t="s">
        <v>270</v>
      </c>
      <c r="B26" s="459"/>
      <c r="C26" s="459"/>
      <c r="D26" s="459"/>
      <c r="E26" s="459"/>
      <c r="F26" s="459"/>
      <c r="G26" s="459"/>
      <c r="H26" s="459"/>
      <c r="I26" s="459"/>
      <c r="J26" s="459"/>
      <c r="K26" s="459"/>
      <c r="L26" s="459"/>
    </row>
    <row r="27" spans="1:12" ht="5.0999999999999996" customHeight="1" x14ac:dyDescent="0.25">
      <c r="A27" s="296"/>
      <c r="B27" s="293"/>
      <c r="C27" s="293"/>
      <c r="D27" s="293"/>
      <c r="E27" s="298"/>
      <c r="F27" s="298"/>
      <c r="H27" s="294"/>
      <c r="I27" s="294"/>
      <c r="J27" s="294"/>
      <c r="K27" s="289"/>
      <c r="L27" s="289"/>
    </row>
    <row r="28" spans="1:12" ht="29.1" customHeight="1" x14ac:dyDescent="0.25">
      <c r="A28" s="456" t="s">
        <v>376</v>
      </c>
      <c r="B28" s="456"/>
      <c r="C28" s="456"/>
      <c r="D28" s="456"/>
      <c r="E28" s="456"/>
      <c r="F28" s="456"/>
      <c r="G28" s="456"/>
      <c r="H28" s="456"/>
      <c r="I28" s="456"/>
      <c r="J28" s="456"/>
      <c r="K28" s="456"/>
      <c r="L28" s="456"/>
    </row>
    <row r="29" spans="1:12" x14ac:dyDescent="0.25">
      <c r="A29" s="457" t="s">
        <v>258</v>
      </c>
      <c r="B29" s="457"/>
      <c r="C29" s="457"/>
      <c r="D29" s="457"/>
      <c r="E29" s="457"/>
      <c r="F29" s="457"/>
      <c r="G29" s="465"/>
      <c r="H29" s="465"/>
      <c r="I29" s="465"/>
      <c r="J29" s="465"/>
      <c r="K29" s="465"/>
      <c r="L29" s="465"/>
    </row>
    <row r="30" spans="1:12" ht="5.0999999999999996" customHeight="1" x14ac:dyDescent="0.25">
      <c r="A30" s="296"/>
      <c r="B30" s="293"/>
      <c r="C30" s="293"/>
      <c r="D30" s="293"/>
      <c r="E30" s="298"/>
      <c r="F30" s="298"/>
      <c r="H30" s="294"/>
      <c r="I30" s="294"/>
      <c r="J30" s="294"/>
      <c r="K30" s="289"/>
      <c r="L30" s="289"/>
    </row>
    <row r="31" spans="1:12" x14ac:dyDescent="0.25">
      <c r="A31" s="443" t="s">
        <v>102</v>
      </c>
      <c r="B31" s="443"/>
      <c r="C31" s="443"/>
      <c r="D31" s="443"/>
      <c r="E31" s="443"/>
      <c r="F31" s="443"/>
      <c r="G31" s="465"/>
      <c r="H31" s="465"/>
      <c r="I31" s="465"/>
      <c r="J31" s="465"/>
      <c r="K31" s="465"/>
      <c r="L31" s="465"/>
    </row>
    <row r="32" spans="1:12" ht="5.0999999999999996" customHeight="1" x14ac:dyDescent="0.25">
      <c r="A32" s="296"/>
      <c r="B32" s="293"/>
      <c r="C32" s="293"/>
      <c r="D32" s="293"/>
      <c r="E32" s="298"/>
      <c r="F32" s="298"/>
      <c r="H32" s="294"/>
      <c r="I32" s="294"/>
      <c r="J32" s="294"/>
      <c r="K32" s="289"/>
      <c r="L32" s="289"/>
    </row>
    <row r="33" spans="1:12" x14ac:dyDescent="0.25">
      <c r="A33" s="443" t="s">
        <v>103</v>
      </c>
      <c r="B33" s="443"/>
      <c r="C33" s="443"/>
      <c r="D33" s="443"/>
      <c r="E33" s="443"/>
      <c r="F33" s="443"/>
      <c r="G33" s="465"/>
      <c r="H33" s="465"/>
      <c r="I33" s="465"/>
      <c r="J33" s="465"/>
      <c r="K33" s="465"/>
      <c r="L33" s="465"/>
    </row>
    <row r="34" spans="1:12" ht="5.0999999999999996" customHeight="1" x14ac:dyDescent="0.25">
      <c r="A34" s="296"/>
      <c r="B34" s="293"/>
      <c r="C34" s="293"/>
      <c r="D34" s="293"/>
      <c r="E34" s="298"/>
      <c r="F34" s="298"/>
      <c r="H34" s="294"/>
      <c r="I34" s="294"/>
      <c r="J34" s="294"/>
      <c r="K34" s="289"/>
      <c r="L34" s="289"/>
    </row>
    <row r="35" spans="1:12" x14ac:dyDescent="0.25">
      <c r="A35" s="443" t="s">
        <v>104</v>
      </c>
      <c r="B35" s="443"/>
      <c r="C35" s="443"/>
      <c r="D35" s="443"/>
      <c r="E35" s="443"/>
      <c r="F35" s="443"/>
      <c r="G35" s="465"/>
      <c r="H35" s="465"/>
      <c r="I35" s="465"/>
      <c r="J35" s="465"/>
      <c r="K35" s="465"/>
      <c r="L35" s="465"/>
    </row>
    <row r="36" spans="1:12" ht="5.0999999999999996" customHeight="1" x14ac:dyDescent="0.25">
      <c r="A36" s="296"/>
      <c r="B36" s="293"/>
      <c r="C36" s="293"/>
      <c r="D36" s="293"/>
      <c r="E36" s="298"/>
      <c r="F36" s="298"/>
      <c r="H36" s="294"/>
      <c r="I36" s="294"/>
      <c r="J36" s="294"/>
      <c r="K36" s="289"/>
      <c r="L36" s="289"/>
    </row>
    <row r="37" spans="1:12" x14ac:dyDescent="0.25">
      <c r="A37" s="476" t="s">
        <v>105</v>
      </c>
      <c r="B37" s="476"/>
      <c r="C37" s="476"/>
      <c r="D37" s="476"/>
      <c r="E37" s="476"/>
      <c r="F37" s="476"/>
      <c r="G37" s="465"/>
      <c r="H37" s="465"/>
      <c r="I37" s="465"/>
      <c r="J37" s="465"/>
      <c r="K37" s="465"/>
      <c r="L37" s="465"/>
    </row>
    <row r="38" spans="1:12" ht="5.0999999999999996" customHeight="1" x14ac:dyDescent="0.25">
      <c r="A38" s="296"/>
      <c r="B38" s="293"/>
      <c r="C38" s="293"/>
      <c r="D38" s="293"/>
      <c r="E38" s="298"/>
      <c r="F38" s="298"/>
      <c r="H38" s="294"/>
      <c r="I38" s="294"/>
      <c r="J38" s="294"/>
      <c r="K38" s="289"/>
      <c r="L38" s="289"/>
    </row>
    <row r="39" spans="1:12" x14ac:dyDescent="0.25">
      <c r="A39" s="476" t="s">
        <v>106</v>
      </c>
      <c r="B39" s="476"/>
      <c r="C39" s="476"/>
      <c r="D39" s="476"/>
      <c r="E39" s="476"/>
      <c r="F39" s="476"/>
      <c r="G39" s="465"/>
      <c r="H39" s="465"/>
      <c r="I39" s="465"/>
      <c r="J39" s="465"/>
      <c r="K39" s="465"/>
      <c r="L39" s="465"/>
    </row>
    <row r="40" spans="1:12" ht="5.0999999999999996" customHeight="1" x14ac:dyDescent="0.25">
      <c r="A40" s="296"/>
      <c r="B40" s="293"/>
      <c r="C40" s="293"/>
      <c r="D40" s="293"/>
      <c r="E40" s="298"/>
      <c r="F40" s="298"/>
      <c r="H40" s="294"/>
      <c r="I40" s="294"/>
      <c r="J40" s="294"/>
      <c r="K40" s="289"/>
      <c r="L40" s="289"/>
    </row>
    <row r="41" spans="1:12" x14ac:dyDescent="0.25">
      <c r="A41" s="443" t="s">
        <v>107</v>
      </c>
      <c r="B41" s="443"/>
      <c r="C41" s="443"/>
      <c r="D41" s="443"/>
      <c r="E41" s="443"/>
      <c r="F41" s="443"/>
      <c r="G41" s="465"/>
      <c r="H41" s="465"/>
      <c r="I41" s="465"/>
      <c r="J41" s="465"/>
      <c r="K41" s="465"/>
      <c r="L41" s="465"/>
    </row>
    <row r="42" spans="1:12" ht="50.1" hidden="1" customHeight="1" x14ac:dyDescent="0.25">
      <c r="A42" s="460" t="s">
        <v>114</v>
      </c>
      <c r="B42" s="461"/>
      <c r="C42" s="461"/>
      <c r="D42" s="461"/>
      <c r="E42" s="461"/>
      <c r="F42" s="461"/>
      <c r="G42" s="461"/>
      <c r="H42" s="461"/>
      <c r="I42" s="461"/>
      <c r="J42" s="461"/>
      <c r="K42" s="461"/>
      <c r="L42" s="461"/>
    </row>
    <row r="43" spans="1:12" ht="55.5" hidden="1" customHeight="1" x14ac:dyDescent="0.25">
      <c r="A43" s="462"/>
      <c r="B43" s="463"/>
      <c r="C43" s="463"/>
      <c r="D43" s="463"/>
      <c r="E43" s="463"/>
      <c r="F43" s="463"/>
      <c r="G43" s="463"/>
      <c r="H43" s="463"/>
      <c r="I43" s="463"/>
      <c r="J43" s="463"/>
      <c r="K43" s="463"/>
      <c r="L43" s="464"/>
    </row>
    <row r="44" spans="1:12" ht="5.0999999999999996" customHeight="1" x14ac:dyDescent="0.25">
      <c r="A44" s="296"/>
      <c r="B44" s="293"/>
      <c r="C44" s="293"/>
      <c r="D44" s="293"/>
      <c r="E44" s="298"/>
      <c r="F44" s="298"/>
      <c r="H44" s="294"/>
      <c r="I44" s="294"/>
      <c r="J44" s="294"/>
      <c r="K44" s="289"/>
      <c r="L44" s="289"/>
    </row>
    <row r="45" spans="1:12" ht="15" customHeight="1" x14ac:dyDescent="0.25">
      <c r="A45" s="440" t="s">
        <v>326</v>
      </c>
      <c r="B45" s="441"/>
      <c r="C45" s="441"/>
      <c r="D45" s="441"/>
      <c r="E45" s="441"/>
      <c r="F45" s="441"/>
      <c r="G45" s="441"/>
      <c r="H45" s="441"/>
      <c r="I45" s="441"/>
      <c r="J45" s="441"/>
      <c r="K45" s="441"/>
      <c r="L45" s="442"/>
    </row>
    <row r="46" spans="1:12" ht="45.6" customHeight="1" x14ac:dyDescent="0.25">
      <c r="A46" s="436" t="s">
        <v>334</v>
      </c>
      <c r="B46" s="437"/>
      <c r="C46" s="437"/>
      <c r="D46" s="437"/>
      <c r="E46" s="437"/>
      <c r="F46" s="437"/>
      <c r="G46" s="437"/>
      <c r="H46" s="437"/>
      <c r="I46" s="437"/>
      <c r="J46" s="437"/>
      <c r="K46" s="437"/>
      <c r="L46" s="438"/>
    </row>
    <row r="47" spans="1:12" x14ac:dyDescent="0.25">
      <c r="A47" s="292"/>
      <c r="B47" s="292"/>
      <c r="C47" s="292"/>
      <c r="D47" s="292"/>
      <c r="E47" s="292"/>
      <c r="F47" s="292"/>
      <c r="G47" s="292"/>
      <c r="H47" s="292"/>
      <c r="I47" s="292"/>
      <c r="J47" s="292"/>
      <c r="K47" s="292"/>
      <c r="L47" s="292"/>
    </row>
    <row r="48" spans="1:12" x14ac:dyDescent="0.25">
      <c r="A48" s="292"/>
      <c r="B48" s="292"/>
      <c r="C48" s="292"/>
      <c r="D48" s="292"/>
      <c r="E48" s="292"/>
      <c r="F48" s="292"/>
      <c r="G48" s="292"/>
      <c r="H48" s="292"/>
      <c r="I48" s="292"/>
      <c r="J48" s="292"/>
      <c r="K48" s="292"/>
      <c r="L48" s="292"/>
    </row>
    <row r="49" spans="1:12" x14ac:dyDescent="0.25">
      <c r="A49" s="310"/>
      <c r="B49" s="310"/>
      <c r="C49" s="310"/>
      <c r="D49" s="310"/>
      <c r="E49" s="310"/>
      <c r="G49" s="310"/>
      <c r="H49" s="310"/>
      <c r="I49" s="310"/>
      <c r="J49" s="310"/>
      <c r="K49" s="310"/>
      <c r="L49" s="310"/>
    </row>
    <row r="50" spans="1:12" x14ac:dyDescent="0.25">
      <c r="A50" s="297" t="s">
        <v>327</v>
      </c>
      <c r="B50" s="292"/>
      <c r="C50" s="292"/>
      <c r="D50" s="292"/>
      <c r="E50" s="292" t="s">
        <v>98</v>
      </c>
      <c r="G50" s="313" t="s">
        <v>335</v>
      </c>
      <c r="H50" s="292"/>
      <c r="I50" s="292"/>
      <c r="J50" s="292"/>
      <c r="L50" s="292" t="s">
        <v>98</v>
      </c>
    </row>
    <row r="51" spans="1:12" x14ac:dyDescent="0.25">
      <c r="A51" s="292"/>
      <c r="B51" s="292"/>
      <c r="C51" s="292"/>
      <c r="D51" s="292"/>
      <c r="E51" s="292"/>
      <c r="G51" s="292"/>
      <c r="H51" s="292"/>
      <c r="I51" s="292"/>
      <c r="J51" s="292"/>
      <c r="K51" s="292"/>
      <c r="L51" s="292"/>
    </row>
  </sheetData>
  <mergeCells count="47">
    <mergeCell ref="G12:H12"/>
    <mergeCell ref="J12:K12"/>
    <mergeCell ref="G14:H14"/>
    <mergeCell ref="J14:K14"/>
    <mergeCell ref="A46:L46"/>
    <mergeCell ref="G29:L29"/>
    <mergeCell ref="G31:L31"/>
    <mergeCell ref="G33:L33"/>
    <mergeCell ref="G35:L35"/>
    <mergeCell ref="G37:L37"/>
    <mergeCell ref="G39:L39"/>
    <mergeCell ref="A31:F31"/>
    <mergeCell ref="A33:F33"/>
    <mergeCell ref="A35:F35"/>
    <mergeCell ref="A37:F37"/>
    <mergeCell ref="A39:F39"/>
    <mergeCell ref="B8:D8"/>
    <mergeCell ref="K4:L4"/>
    <mergeCell ref="G8:J8"/>
    <mergeCell ref="G10:H10"/>
    <mergeCell ref="J10:K10"/>
    <mergeCell ref="A45:L45"/>
    <mergeCell ref="A28:L28"/>
    <mergeCell ref="A29:F29"/>
    <mergeCell ref="A24:L24"/>
    <mergeCell ref="A25:L25"/>
    <mergeCell ref="A26:L26"/>
    <mergeCell ref="A41:F41"/>
    <mergeCell ref="A42:L42"/>
    <mergeCell ref="A43:L43"/>
    <mergeCell ref="G41:L41"/>
    <mergeCell ref="A1:L1"/>
    <mergeCell ref="A21:L21"/>
    <mergeCell ref="A22:L22"/>
    <mergeCell ref="A20:L20"/>
    <mergeCell ref="A23:L23"/>
    <mergeCell ref="G16:H16"/>
    <mergeCell ref="J16:K16"/>
    <mergeCell ref="G18:H18"/>
    <mergeCell ref="J18:K18"/>
    <mergeCell ref="B12:D12"/>
    <mergeCell ref="B14:D14"/>
    <mergeCell ref="B4:D4"/>
    <mergeCell ref="G4:H4"/>
    <mergeCell ref="A3:L3"/>
    <mergeCell ref="E8:F8"/>
    <mergeCell ref="B6:L6"/>
  </mergeCells>
  <pageMargins left="0.7" right="0.7" top="0.75" bottom="0.75" header="0.3" footer="0.3"/>
  <pageSetup scale="70"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0</xdr:col>
                    <xdr:colOff>152400</xdr:colOff>
                    <xdr:row>28</xdr:row>
                    <xdr:rowOff>28575</xdr:rowOff>
                  </from>
                  <to>
                    <xdr:col>0</xdr:col>
                    <xdr:colOff>438150</xdr:colOff>
                    <xdr:row>28</xdr:row>
                    <xdr:rowOff>161925</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0</xdr:col>
                    <xdr:colOff>104775</xdr:colOff>
                    <xdr:row>21</xdr:row>
                    <xdr:rowOff>161925</xdr:rowOff>
                  </from>
                  <to>
                    <xdr:col>0</xdr:col>
                    <xdr:colOff>419100</xdr:colOff>
                    <xdr:row>23</xdr:row>
                    <xdr:rowOff>38100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0</xdr:col>
                    <xdr:colOff>104775</xdr:colOff>
                    <xdr:row>22</xdr:row>
                    <xdr:rowOff>161925</xdr:rowOff>
                  </from>
                  <to>
                    <xdr:col>0</xdr:col>
                    <xdr:colOff>419100</xdr:colOff>
                    <xdr:row>24</xdr:row>
                    <xdr:rowOff>47625</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0</xdr:col>
                    <xdr:colOff>104775</xdr:colOff>
                    <xdr:row>23</xdr:row>
                    <xdr:rowOff>180975</xdr:rowOff>
                  </from>
                  <to>
                    <xdr:col>0</xdr:col>
                    <xdr:colOff>419100</xdr:colOff>
                    <xdr:row>25</xdr:row>
                    <xdr:rowOff>47625</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0</xdr:col>
                    <xdr:colOff>152400</xdr:colOff>
                    <xdr:row>30</xdr:row>
                    <xdr:rowOff>28575</xdr:rowOff>
                  </from>
                  <to>
                    <xdr:col>0</xdr:col>
                    <xdr:colOff>438150</xdr:colOff>
                    <xdr:row>30</xdr:row>
                    <xdr:rowOff>161925</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0</xdr:col>
                    <xdr:colOff>152400</xdr:colOff>
                    <xdr:row>32</xdr:row>
                    <xdr:rowOff>28575</xdr:rowOff>
                  </from>
                  <to>
                    <xdr:col>0</xdr:col>
                    <xdr:colOff>438150</xdr:colOff>
                    <xdr:row>32</xdr:row>
                    <xdr:rowOff>180975</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0</xdr:col>
                    <xdr:colOff>152400</xdr:colOff>
                    <xdr:row>34</xdr:row>
                    <xdr:rowOff>28575</xdr:rowOff>
                  </from>
                  <to>
                    <xdr:col>0</xdr:col>
                    <xdr:colOff>438150</xdr:colOff>
                    <xdr:row>34</xdr:row>
                    <xdr:rowOff>180975</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0</xdr:col>
                    <xdr:colOff>152400</xdr:colOff>
                    <xdr:row>36</xdr:row>
                    <xdr:rowOff>28575</xdr:rowOff>
                  </from>
                  <to>
                    <xdr:col>0</xdr:col>
                    <xdr:colOff>438150</xdr:colOff>
                    <xdr:row>36</xdr:row>
                    <xdr:rowOff>180975</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0</xdr:col>
                    <xdr:colOff>152400</xdr:colOff>
                    <xdr:row>38</xdr:row>
                    <xdr:rowOff>19050</xdr:rowOff>
                  </from>
                  <to>
                    <xdr:col>0</xdr:col>
                    <xdr:colOff>438150</xdr:colOff>
                    <xdr:row>38</xdr:row>
                    <xdr:rowOff>171450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0</xdr:col>
                    <xdr:colOff>104775</xdr:colOff>
                    <xdr:row>24</xdr:row>
                    <xdr:rowOff>161925</xdr:rowOff>
                  </from>
                  <to>
                    <xdr:col>0</xdr:col>
                    <xdr:colOff>419100</xdr:colOff>
                    <xdr:row>26</xdr:row>
                    <xdr:rowOff>38100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0</xdr:col>
                    <xdr:colOff>152400</xdr:colOff>
                    <xdr:row>40</xdr:row>
                    <xdr:rowOff>19050</xdr:rowOff>
                  </from>
                  <to>
                    <xdr:col>0</xdr:col>
                    <xdr:colOff>438150</xdr:colOff>
                    <xdr:row>40</xdr:row>
                    <xdr:rowOff>171450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0</xdr:col>
                    <xdr:colOff>342900</xdr:colOff>
                    <xdr:row>16</xdr:row>
                    <xdr:rowOff>28575</xdr:rowOff>
                  </from>
                  <to>
                    <xdr:col>0</xdr:col>
                    <xdr:colOff>657225</xdr:colOff>
                    <xdr:row>18</xdr:row>
                    <xdr:rowOff>47625</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0</xdr:col>
                    <xdr:colOff>1162050</xdr:colOff>
                    <xdr:row>16</xdr:row>
                    <xdr:rowOff>28575</xdr:rowOff>
                  </from>
                  <to>
                    <xdr:col>0</xdr:col>
                    <xdr:colOff>1466850</xdr:colOff>
                    <xdr:row>18</xdr:row>
                    <xdr:rowOff>38100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54B027-BDE0-4523-9BB3-5C13FDA84674}">
  <sheetPr>
    <pageSetUpPr fitToPage="1"/>
  </sheetPr>
  <dimension ref="A1:AQ356"/>
  <sheetViews>
    <sheetView zoomScale="125" zoomScaleNormal="125" zoomScalePageLayoutView="85" workbookViewId="0">
      <selection activeCell="E34" sqref="E34:G35"/>
    </sheetView>
  </sheetViews>
  <sheetFormatPr defaultColWidth="8.375" defaultRowHeight="15.75" outlineLevelRow="1" x14ac:dyDescent="0.25"/>
  <cols>
    <col min="1" max="2" width="2.625" customWidth="1"/>
    <col min="3" max="3" width="3.5" customWidth="1"/>
    <col min="4" max="5" width="2.625" customWidth="1"/>
    <col min="6" max="6" width="5.625" customWidth="1"/>
    <col min="7" max="7" width="11.75" customWidth="1"/>
    <col min="8" max="8" width="14.625" customWidth="1"/>
    <col min="9" max="9" width="2" customWidth="1"/>
    <col min="10" max="10" width="8.125" customWidth="1"/>
    <col min="11" max="11" width="2.75" customWidth="1"/>
    <col min="12" max="12" width="7.5" customWidth="1"/>
    <col min="13" max="16" width="7.125" customWidth="1"/>
    <col min="17" max="17" width="2.25" customWidth="1"/>
    <col min="18" max="18" width="3.5" customWidth="1"/>
    <col min="19" max="19" width="5.625" customWidth="1"/>
    <col min="20" max="20" width="6.25" customWidth="1"/>
    <col min="21" max="21" width="15.625" customWidth="1"/>
    <col min="22" max="22" width="19.75" customWidth="1"/>
    <col min="23" max="25" width="12.625" customWidth="1"/>
    <col min="27" max="27" width="12.125" customWidth="1"/>
    <col min="28" max="28" width="8.375" style="13"/>
    <col min="29" max="29" width="10.875" style="13" customWidth="1"/>
    <col min="30" max="30" width="11.125" style="13" customWidth="1"/>
    <col min="31" max="31" width="21.5" style="13" customWidth="1"/>
    <col min="32" max="32" width="10.25" style="13" customWidth="1"/>
    <col min="33" max="33" width="9.625" style="13" customWidth="1"/>
    <col min="34" max="34" width="8.375" style="13"/>
    <col min="35" max="35" width="12.375" style="13" customWidth="1"/>
    <col min="36" max="43" width="8.375" style="13"/>
  </cols>
  <sheetData>
    <row r="1" spans="1:43" ht="42.75" customHeight="1" x14ac:dyDescent="0.3">
      <c r="A1" s="598" t="s">
        <v>116</v>
      </c>
      <c r="B1" s="599"/>
      <c r="C1" s="599"/>
      <c r="D1" s="599"/>
      <c r="E1" s="599"/>
      <c r="F1" s="599"/>
      <c r="G1" s="599"/>
      <c r="H1" s="599"/>
      <c r="I1" s="599"/>
      <c r="J1" s="599"/>
      <c r="K1" s="599"/>
      <c r="L1" s="599"/>
      <c r="M1" s="599"/>
      <c r="N1" s="599"/>
      <c r="O1" s="599"/>
      <c r="P1" s="599"/>
      <c r="Q1" s="599"/>
      <c r="R1" s="599"/>
      <c r="S1" s="600"/>
      <c r="T1" s="224"/>
      <c r="U1" s="568" t="s">
        <v>283</v>
      </c>
      <c r="V1" s="568"/>
      <c r="W1" s="568"/>
      <c r="X1" s="568"/>
      <c r="Y1" s="568"/>
      <c r="Z1" s="568"/>
      <c r="AA1" s="568"/>
    </row>
    <row r="2" spans="1:43" ht="21" customHeight="1" x14ac:dyDescent="0.3">
      <c r="A2" s="601" t="s">
        <v>117</v>
      </c>
      <c r="B2" s="602"/>
      <c r="C2" s="602"/>
      <c r="D2" s="602"/>
      <c r="E2" s="602"/>
      <c r="F2" s="602"/>
      <c r="G2" s="602"/>
      <c r="H2" s="602"/>
      <c r="I2" s="602"/>
      <c r="J2" s="602"/>
      <c r="K2" s="602"/>
      <c r="L2" s="602"/>
      <c r="M2" s="602"/>
      <c r="N2" s="602"/>
      <c r="O2" s="602"/>
      <c r="P2" s="602"/>
      <c r="Q2" s="602"/>
      <c r="R2" s="602"/>
      <c r="S2" s="603"/>
      <c r="T2" s="224"/>
      <c r="U2" s="568"/>
      <c r="V2" s="568"/>
      <c r="W2" s="568"/>
      <c r="X2" s="568"/>
      <c r="Y2" s="568"/>
      <c r="Z2" s="568"/>
      <c r="AA2" s="568"/>
    </row>
    <row r="3" spans="1:43" s="225" customFormat="1" ht="16.5" customHeight="1" x14ac:dyDescent="0.2">
      <c r="A3" s="569" t="s">
        <v>50</v>
      </c>
      <c r="B3" s="570"/>
      <c r="C3" s="570"/>
      <c r="D3" s="570"/>
      <c r="E3" s="570"/>
      <c r="F3" s="570"/>
      <c r="G3" s="604">
        <f>Estimation!E12</f>
        <v>0</v>
      </c>
      <c r="H3" s="572"/>
      <c r="I3" s="572"/>
      <c r="J3" s="573"/>
      <c r="K3" s="569" t="s">
        <v>95</v>
      </c>
      <c r="L3" s="570"/>
      <c r="M3" s="570"/>
      <c r="N3" s="580"/>
      <c r="O3" s="625">
        <f>Estimation!E4</f>
        <v>0</v>
      </c>
      <c r="P3" s="626"/>
      <c r="Q3" s="626"/>
      <c r="R3" s="626"/>
      <c r="S3" s="627"/>
      <c r="U3" s="568"/>
      <c r="V3" s="568"/>
      <c r="W3" s="568"/>
      <c r="X3" s="568"/>
      <c r="Y3" s="568"/>
      <c r="Z3" s="568"/>
      <c r="AA3" s="568"/>
      <c r="AB3" s="226"/>
      <c r="AC3" s="226"/>
      <c r="AD3" s="226"/>
      <c r="AE3" s="226"/>
      <c r="AF3" s="226"/>
      <c r="AG3" s="226"/>
      <c r="AH3" s="226"/>
      <c r="AI3" s="226"/>
      <c r="AJ3" s="226"/>
      <c r="AK3" s="226"/>
      <c r="AL3" s="226"/>
      <c r="AM3" s="226"/>
      <c r="AN3" s="226"/>
      <c r="AO3" s="226"/>
      <c r="AP3" s="226"/>
      <c r="AQ3" s="226"/>
    </row>
    <row r="4" spans="1:43" s="225" customFormat="1" ht="16.5" customHeight="1" x14ac:dyDescent="0.2">
      <c r="A4" s="569" t="s">
        <v>96</v>
      </c>
      <c r="B4" s="570"/>
      <c r="C4" s="570"/>
      <c r="D4" s="570"/>
      <c r="E4" s="570"/>
      <c r="F4" s="570"/>
      <c r="G4" s="605">
        <f>Estimation!D9</f>
        <v>0</v>
      </c>
      <c r="H4" s="606"/>
      <c r="I4" s="606"/>
      <c r="J4" s="607"/>
      <c r="K4" s="608" t="s">
        <v>118</v>
      </c>
      <c r="L4" s="609"/>
      <c r="M4" s="609"/>
      <c r="N4" s="610"/>
      <c r="O4" s="611"/>
      <c r="P4" s="612"/>
      <c r="Q4" s="612"/>
      <c r="R4" s="612"/>
      <c r="S4" s="613"/>
      <c r="T4" s="227"/>
      <c r="AB4" s="226"/>
      <c r="AC4" s="226"/>
      <c r="AD4" s="226"/>
      <c r="AE4" s="226"/>
      <c r="AF4" s="226"/>
      <c r="AG4" s="226"/>
      <c r="AH4" s="226"/>
      <c r="AI4" s="226"/>
      <c r="AJ4" s="226"/>
      <c r="AK4" s="226"/>
      <c r="AL4" s="226"/>
      <c r="AM4" s="226"/>
      <c r="AN4" s="226"/>
      <c r="AO4" s="226"/>
      <c r="AP4" s="226"/>
      <c r="AQ4" s="226"/>
    </row>
    <row r="5" spans="1:43" s="225" customFormat="1" ht="16.5" customHeight="1" x14ac:dyDescent="0.2">
      <c r="A5" s="569" t="s">
        <v>97</v>
      </c>
      <c r="B5" s="570"/>
      <c r="C5" s="570"/>
      <c r="D5" s="570"/>
      <c r="E5" s="570"/>
      <c r="F5" s="570"/>
      <c r="G5" s="571">
        <f>Estimation!E1</f>
        <v>0</v>
      </c>
      <c r="H5" s="572"/>
      <c r="I5" s="572"/>
      <c r="J5" s="573"/>
      <c r="K5" s="569" t="s">
        <v>67</v>
      </c>
      <c r="L5" s="570"/>
      <c r="M5" s="570"/>
      <c r="N5" s="580"/>
      <c r="O5" s="581">
        <f>Estimation!E18</f>
        <v>0</v>
      </c>
      <c r="P5" s="582"/>
      <c r="Q5" s="582"/>
      <c r="R5" s="582"/>
      <c r="S5" s="583"/>
      <c r="U5" s="568" t="s">
        <v>284</v>
      </c>
      <c r="V5" s="568"/>
      <c r="W5" s="568"/>
      <c r="X5" s="568"/>
      <c r="Y5" s="568"/>
      <c r="Z5" s="568"/>
      <c r="AA5" s="568"/>
      <c r="AB5" s="226"/>
      <c r="AC5" s="226"/>
      <c r="AD5" s="226"/>
      <c r="AE5" s="226"/>
      <c r="AF5" s="226"/>
      <c r="AG5" s="226"/>
      <c r="AH5" s="226"/>
      <c r="AI5" s="226"/>
      <c r="AJ5" s="226"/>
      <c r="AK5" s="226"/>
      <c r="AL5" s="226"/>
      <c r="AM5" s="226"/>
      <c r="AN5" s="226"/>
      <c r="AO5" s="226"/>
      <c r="AP5" s="226"/>
      <c r="AQ5" s="226"/>
    </row>
    <row r="6" spans="1:43" s="225" customFormat="1" ht="16.5" customHeight="1" x14ac:dyDescent="0.2">
      <c r="A6" s="569" t="s">
        <v>119</v>
      </c>
      <c r="B6" s="570"/>
      <c r="C6" s="570"/>
      <c r="D6" s="570"/>
      <c r="E6" s="570"/>
      <c r="F6" s="570"/>
      <c r="G6" s="571" t="s">
        <v>120</v>
      </c>
      <c r="H6" s="572"/>
      <c r="I6" s="572"/>
      <c r="J6" s="573"/>
      <c r="K6" s="569" t="s">
        <v>121</v>
      </c>
      <c r="L6" s="570"/>
      <c r="M6" s="570"/>
      <c r="N6" s="580"/>
      <c r="O6" s="587">
        <f>Estimation!G218</f>
        <v>0</v>
      </c>
      <c r="P6" s="588"/>
      <c r="Q6" s="588"/>
      <c r="R6" s="588"/>
      <c r="S6" s="589"/>
      <c r="U6" s="568"/>
      <c r="V6" s="568"/>
      <c r="W6" s="568"/>
      <c r="X6" s="568"/>
      <c r="Y6" s="568"/>
      <c r="Z6" s="568"/>
      <c r="AA6" s="568"/>
      <c r="AB6" s="228" t="s">
        <v>120</v>
      </c>
      <c r="AC6" s="229"/>
      <c r="AD6" s="228" t="s">
        <v>120</v>
      </c>
      <c r="AF6" s="226"/>
      <c r="AG6" s="226"/>
      <c r="AH6" s="226"/>
      <c r="AI6" s="226"/>
      <c r="AJ6" s="226"/>
      <c r="AK6" s="226"/>
      <c r="AL6" s="226"/>
      <c r="AM6" s="226"/>
      <c r="AN6" s="226"/>
      <c r="AO6" s="226"/>
      <c r="AP6" s="226"/>
      <c r="AQ6" s="226"/>
    </row>
    <row r="7" spans="1:43" s="225" customFormat="1" ht="16.5" customHeight="1" x14ac:dyDescent="0.2">
      <c r="A7" s="569" t="s">
        <v>122</v>
      </c>
      <c r="B7" s="570"/>
      <c r="C7" s="570"/>
      <c r="D7" s="570"/>
      <c r="E7" s="570"/>
      <c r="F7" s="570"/>
      <c r="G7" s="571" t="s">
        <v>120</v>
      </c>
      <c r="H7" s="572"/>
      <c r="I7" s="572"/>
      <c r="J7" s="573"/>
      <c r="K7" s="574" t="s">
        <v>123</v>
      </c>
      <c r="L7" s="575"/>
      <c r="M7" s="575"/>
      <c r="N7" s="576"/>
      <c r="O7" s="577"/>
      <c r="P7" s="578"/>
      <c r="Q7" s="578"/>
      <c r="R7" s="578"/>
      <c r="S7" s="579"/>
      <c r="U7" s="568"/>
      <c r="V7" s="568"/>
      <c r="W7" s="568"/>
      <c r="X7" s="568"/>
      <c r="Y7" s="568"/>
      <c r="Z7" s="568"/>
      <c r="AA7" s="568"/>
      <c r="AB7" s="229" t="s">
        <v>124</v>
      </c>
      <c r="AC7" s="229"/>
      <c r="AD7" s="229" t="s">
        <v>125</v>
      </c>
      <c r="AF7" s="226"/>
      <c r="AG7" s="226"/>
      <c r="AH7" s="226"/>
      <c r="AI7" s="226"/>
      <c r="AJ7" s="226"/>
      <c r="AK7" s="226"/>
      <c r="AL7" s="226"/>
      <c r="AM7" s="226"/>
      <c r="AN7" s="226"/>
      <c r="AO7" s="226"/>
      <c r="AP7" s="226"/>
      <c r="AQ7" s="226"/>
    </row>
    <row r="8" spans="1:43" s="225" customFormat="1" ht="14.25" customHeight="1" x14ac:dyDescent="0.2">
      <c r="A8" s="614" t="s">
        <v>126</v>
      </c>
      <c r="B8" s="615"/>
      <c r="C8" s="615"/>
      <c r="D8" s="615"/>
      <c r="E8" s="615"/>
      <c r="F8" s="615"/>
      <c r="G8" s="615"/>
      <c r="H8" s="615"/>
      <c r="I8" s="615"/>
      <c r="J8" s="615"/>
      <c r="K8" s="615"/>
      <c r="L8" s="615"/>
      <c r="M8" s="615"/>
      <c r="N8" s="615"/>
      <c r="O8" s="615"/>
      <c r="P8" s="615"/>
      <c r="Q8" s="615"/>
      <c r="R8" s="615"/>
      <c r="S8" s="616"/>
      <c r="AB8" s="229" t="s">
        <v>127</v>
      </c>
      <c r="AC8" s="229"/>
      <c r="AD8" s="229" t="s">
        <v>128</v>
      </c>
      <c r="AF8" s="226"/>
      <c r="AG8" s="226"/>
      <c r="AH8" s="226"/>
      <c r="AI8" s="226"/>
      <c r="AJ8" s="226"/>
      <c r="AK8" s="226"/>
      <c r="AL8" s="226"/>
      <c r="AM8" s="226"/>
      <c r="AN8" s="226"/>
      <c r="AO8" s="226"/>
      <c r="AP8" s="226"/>
      <c r="AQ8" s="226"/>
    </row>
    <row r="9" spans="1:43" ht="12.95" customHeight="1" x14ac:dyDescent="0.25">
      <c r="A9" s="617" t="s">
        <v>129</v>
      </c>
      <c r="B9" s="618"/>
      <c r="C9" s="618"/>
      <c r="D9" s="618"/>
      <c r="E9" s="618"/>
      <c r="F9" s="618"/>
      <c r="G9" s="618"/>
      <c r="H9" s="618"/>
      <c r="I9" s="618"/>
      <c r="J9" s="618"/>
      <c r="K9" s="618"/>
      <c r="L9" s="618"/>
      <c r="M9" s="618"/>
      <c r="N9" s="618"/>
      <c r="O9" s="618"/>
      <c r="P9" s="618"/>
      <c r="Q9" s="618"/>
      <c r="R9" s="618"/>
      <c r="S9" s="619"/>
      <c r="U9" s="567" t="s">
        <v>384</v>
      </c>
      <c r="V9" s="567"/>
      <c r="W9" s="567"/>
      <c r="X9" s="567"/>
      <c r="Y9" s="567"/>
      <c r="Z9" s="567"/>
      <c r="AA9" s="567"/>
      <c r="AB9" s="229" t="s">
        <v>130</v>
      </c>
      <c r="AC9" s="31"/>
      <c r="AD9" s="229" t="s">
        <v>131</v>
      </c>
      <c r="AE9"/>
    </row>
    <row r="10" spans="1:43" ht="12.95" customHeight="1" x14ac:dyDescent="0.25">
      <c r="A10" s="231"/>
      <c r="B10" s="620" t="s">
        <v>132</v>
      </c>
      <c r="C10" s="620"/>
      <c r="D10" s="620"/>
      <c r="E10" s="620"/>
      <c r="F10" s="620"/>
      <c r="G10" s="620"/>
      <c r="H10" s="620"/>
      <c r="I10" s="620"/>
      <c r="J10" s="620"/>
      <c r="K10" s="620"/>
      <c r="L10" s="620"/>
      <c r="M10" s="621" t="s">
        <v>133</v>
      </c>
      <c r="N10" s="621"/>
      <c r="O10" s="621"/>
      <c r="P10" s="621"/>
      <c r="Q10" s="621"/>
      <c r="R10" s="621"/>
      <c r="S10" s="621"/>
      <c r="U10" s="567"/>
      <c r="V10" s="567"/>
      <c r="W10" s="567"/>
      <c r="X10" s="567"/>
      <c r="Y10" s="567"/>
      <c r="Z10" s="567"/>
      <c r="AA10" s="567"/>
    </row>
    <row r="11" spans="1:43" ht="33" customHeight="1" x14ac:dyDescent="0.25">
      <c r="A11" s="622"/>
      <c r="B11" s="623"/>
      <c r="C11" s="623"/>
      <c r="D11" s="623"/>
      <c r="E11" s="623"/>
      <c r="F11" s="623"/>
      <c r="G11" s="623"/>
      <c r="H11" s="623"/>
      <c r="I11" s="623"/>
      <c r="J11" s="623"/>
      <c r="K11" s="623"/>
      <c r="L11" s="623"/>
      <c r="M11" s="623"/>
      <c r="N11" s="623"/>
      <c r="O11" s="623"/>
      <c r="P11" s="623"/>
      <c r="Q11" s="623"/>
      <c r="R11" s="623"/>
      <c r="S11" s="624"/>
      <c r="T11" s="90"/>
      <c r="U11" s="567"/>
      <c r="V11" s="567"/>
      <c r="W11" s="567"/>
      <c r="X11" s="567"/>
      <c r="Y11" s="567"/>
      <c r="Z11" s="567"/>
      <c r="AA11" s="567"/>
      <c r="AB11" s="91"/>
      <c r="AC11" s="91"/>
      <c r="AD11" s="91"/>
      <c r="AE11" s="91"/>
      <c r="AF11" s="91"/>
    </row>
    <row r="12" spans="1:43" ht="36.75" customHeight="1" x14ac:dyDescent="0.25">
      <c r="A12" s="590" t="s">
        <v>134</v>
      </c>
      <c r="B12" s="591"/>
      <c r="C12" s="591"/>
      <c r="D12" s="591"/>
      <c r="E12" s="591"/>
      <c r="F12" s="591"/>
      <c r="G12" s="591"/>
      <c r="H12" s="591"/>
      <c r="I12" s="591"/>
      <c r="J12" s="591"/>
      <c r="K12" s="591"/>
      <c r="L12" s="591"/>
      <c r="M12" s="591"/>
      <c r="N12" s="591"/>
      <c r="O12" s="591"/>
      <c r="P12" s="232"/>
      <c r="Q12" s="592" t="s">
        <v>98</v>
      </c>
      <c r="R12" s="592"/>
      <c r="S12" s="593"/>
      <c r="U12" s="566" t="s">
        <v>285</v>
      </c>
      <c r="V12" s="566"/>
      <c r="W12" s="566"/>
      <c r="X12" s="566"/>
      <c r="Y12" s="566"/>
      <c r="Z12" s="566"/>
      <c r="AA12" s="566"/>
    </row>
    <row r="13" spans="1:43" ht="15" customHeight="1" x14ac:dyDescent="0.25">
      <c r="A13" s="594" t="s">
        <v>135</v>
      </c>
      <c r="B13" s="595"/>
      <c r="C13" s="595"/>
      <c r="D13" s="595"/>
      <c r="E13" s="595"/>
      <c r="F13" s="595"/>
      <c r="G13" s="595"/>
      <c r="H13" s="595"/>
      <c r="I13" s="595"/>
      <c r="J13" s="595"/>
      <c r="K13" s="595"/>
      <c r="L13" s="595"/>
      <c r="M13" s="595"/>
      <c r="N13" s="595"/>
      <c r="O13" s="595"/>
      <c r="P13" s="233"/>
      <c r="Q13" s="596" t="s">
        <v>98</v>
      </c>
      <c r="R13" s="596"/>
      <c r="S13" s="597"/>
      <c r="U13" s="566"/>
      <c r="V13" s="566"/>
      <c r="W13" s="566"/>
      <c r="X13" s="566"/>
      <c r="Y13" s="566"/>
      <c r="Z13" s="566"/>
      <c r="AA13" s="566"/>
    </row>
    <row r="14" spans="1:43" ht="18" customHeight="1" x14ac:dyDescent="0.25">
      <c r="A14" s="584" t="s">
        <v>136</v>
      </c>
      <c r="B14" s="585"/>
      <c r="C14" s="585"/>
      <c r="D14" s="585"/>
      <c r="E14" s="585"/>
      <c r="F14" s="585"/>
      <c r="G14" s="585"/>
      <c r="H14" s="585"/>
      <c r="I14" s="585"/>
      <c r="J14" s="585"/>
      <c r="K14" s="585"/>
      <c r="L14" s="585"/>
      <c r="M14" s="585"/>
      <c r="N14" s="585"/>
      <c r="O14" s="585"/>
      <c r="P14" s="585"/>
      <c r="Q14" s="585"/>
      <c r="R14" s="585"/>
      <c r="S14" s="586"/>
    </row>
    <row r="15" spans="1:43" s="236" customFormat="1" ht="35.25" customHeight="1" x14ac:dyDescent="0.2">
      <c r="A15" s="638" t="s">
        <v>137</v>
      </c>
      <c r="B15" s="639"/>
      <c r="C15" s="639"/>
      <c r="D15" s="639"/>
      <c r="E15" s="639"/>
      <c r="F15" s="639"/>
      <c r="G15" s="639"/>
      <c r="H15" s="639"/>
      <c r="I15" s="234"/>
      <c r="J15" s="235"/>
      <c r="K15" s="234"/>
      <c r="L15" s="640"/>
      <c r="M15" s="640"/>
      <c r="N15" s="640"/>
      <c r="O15" s="640"/>
      <c r="P15" s="640"/>
      <c r="Q15" s="234"/>
      <c r="R15" s="640"/>
      <c r="S15" s="641"/>
      <c r="U15" s="566" t="s">
        <v>286</v>
      </c>
      <c r="V15" s="566"/>
      <c r="W15" s="566"/>
      <c r="X15" s="566"/>
      <c r="Y15" s="566"/>
      <c r="Z15" s="566"/>
      <c r="AA15" s="566"/>
      <c r="AB15" s="237"/>
      <c r="AC15" s="237"/>
      <c r="AD15" s="237"/>
      <c r="AE15" s="237"/>
      <c r="AF15" s="237"/>
      <c r="AG15" s="237"/>
      <c r="AH15" s="237"/>
      <c r="AI15" s="237"/>
      <c r="AJ15" s="237"/>
      <c r="AK15" s="237"/>
      <c r="AL15" s="237"/>
      <c r="AM15" s="237"/>
      <c r="AN15" s="237"/>
      <c r="AO15" s="237"/>
      <c r="AP15" s="237"/>
      <c r="AQ15" s="237"/>
    </row>
    <row r="16" spans="1:43" s="236" customFormat="1" ht="16.5" customHeight="1" x14ac:dyDescent="0.2">
      <c r="A16" s="633" t="s">
        <v>138</v>
      </c>
      <c r="B16" s="634"/>
      <c r="C16" s="634"/>
      <c r="D16" s="634"/>
      <c r="E16" s="634"/>
      <c r="F16" s="634"/>
      <c r="G16" s="635"/>
      <c r="H16" s="635"/>
      <c r="I16" s="238"/>
      <c r="J16" s="239" t="s">
        <v>98</v>
      </c>
      <c r="K16" s="238"/>
      <c r="L16" s="635" t="s">
        <v>139</v>
      </c>
      <c r="M16" s="635"/>
      <c r="N16" s="635"/>
      <c r="O16" s="635"/>
      <c r="P16" s="635"/>
      <c r="Q16" s="240"/>
      <c r="R16" s="636" t="s">
        <v>98</v>
      </c>
      <c r="S16" s="637"/>
      <c r="U16" s="566"/>
      <c r="V16" s="566"/>
      <c r="W16" s="566"/>
      <c r="X16" s="566"/>
      <c r="Y16" s="566"/>
      <c r="Z16" s="566"/>
      <c r="AA16" s="566"/>
      <c r="AB16" s="237"/>
      <c r="AC16" s="237"/>
      <c r="AD16" s="237"/>
      <c r="AE16" s="237"/>
      <c r="AF16" s="237"/>
      <c r="AG16" s="237"/>
      <c r="AH16" s="237"/>
      <c r="AI16" s="237"/>
      <c r="AJ16" s="237"/>
      <c r="AK16" s="237"/>
      <c r="AL16" s="237"/>
      <c r="AM16" s="237"/>
      <c r="AN16" s="237"/>
      <c r="AO16" s="237"/>
      <c r="AP16" s="237"/>
      <c r="AQ16" s="237"/>
    </row>
    <row r="17" spans="1:43" s="236" customFormat="1" ht="30.75" customHeight="1" x14ac:dyDescent="0.2">
      <c r="A17" s="629" t="s">
        <v>273</v>
      </c>
      <c r="B17" s="630"/>
      <c r="C17" s="630"/>
      <c r="D17" s="630"/>
      <c r="E17" s="630"/>
      <c r="F17" s="630"/>
      <c r="G17" s="630"/>
      <c r="H17" s="630"/>
      <c r="I17" s="241"/>
      <c r="J17" s="242"/>
      <c r="K17" s="241"/>
      <c r="L17" s="631"/>
      <c r="M17" s="631"/>
      <c r="N17" s="631"/>
      <c r="O17" s="631"/>
      <c r="P17" s="631"/>
      <c r="Q17" s="241"/>
      <c r="R17" s="631"/>
      <c r="S17" s="632"/>
      <c r="U17" s="566"/>
      <c r="V17" s="566"/>
      <c r="W17" s="566"/>
      <c r="X17" s="566"/>
      <c r="Y17" s="566"/>
      <c r="Z17" s="566"/>
      <c r="AA17" s="566"/>
      <c r="AB17" s="237"/>
      <c r="AC17" s="237"/>
      <c r="AD17" s="237"/>
      <c r="AE17" s="237"/>
      <c r="AF17" s="237"/>
      <c r="AG17" s="237"/>
      <c r="AH17" s="237"/>
      <c r="AI17" s="237"/>
      <c r="AJ17" s="237"/>
      <c r="AK17" s="237"/>
      <c r="AL17" s="237"/>
      <c r="AM17" s="237"/>
      <c r="AN17" s="237"/>
      <c r="AO17" s="237"/>
      <c r="AP17" s="237"/>
      <c r="AQ17" s="237"/>
    </row>
    <row r="18" spans="1:43" s="236" customFormat="1" ht="15" customHeight="1" x14ac:dyDescent="0.2">
      <c r="A18" s="633" t="s">
        <v>272</v>
      </c>
      <c r="B18" s="634"/>
      <c r="C18" s="634"/>
      <c r="D18" s="634"/>
      <c r="E18" s="634"/>
      <c r="F18" s="634"/>
      <c r="G18" s="635"/>
      <c r="H18" s="635"/>
      <c r="I18" s="238"/>
      <c r="J18" s="239" t="s">
        <v>98</v>
      </c>
      <c r="K18" s="238"/>
      <c r="L18" s="635" t="s">
        <v>140</v>
      </c>
      <c r="M18" s="635"/>
      <c r="N18" s="635"/>
      <c r="O18" s="635"/>
      <c r="P18" s="635"/>
      <c r="Q18" s="240"/>
      <c r="R18" s="636" t="s">
        <v>98</v>
      </c>
      <c r="S18" s="637"/>
      <c r="U18" s="566"/>
      <c r="V18" s="566"/>
      <c r="W18" s="566"/>
      <c r="X18" s="566"/>
      <c r="Y18" s="566"/>
      <c r="Z18" s="566"/>
      <c r="AA18" s="566"/>
      <c r="AB18" s="237"/>
      <c r="AC18" s="237"/>
      <c r="AD18" s="237"/>
      <c r="AE18" s="237"/>
      <c r="AF18" s="237"/>
      <c r="AG18" s="237"/>
      <c r="AH18" s="237"/>
      <c r="AI18" s="237"/>
      <c r="AJ18" s="237"/>
      <c r="AK18" s="237"/>
      <c r="AL18" s="237"/>
      <c r="AM18" s="237"/>
      <c r="AN18" s="237"/>
      <c r="AO18" s="237"/>
      <c r="AP18" s="237"/>
      <c r="AQ18" s="237"/>
    </row>
    <row r="19" spans="1:43" s="236" customFormat="1" ht="25.5" customHeight="1" x14ac:dyDescent="0.2">
      <c r="A19" s="629" t="s">
        <v>141</v>
      </c>
      <c r="B19" s="630"/>
      <c r="C19" s="630"/>
      <c r="D19" s="630"/>
      <c r="E19" s="630"/>
      <c r="F19" s="630"/>
      <c r="G19" s="630"/>
      <c r="H19" s="630"/>
      <c r="I19" s="241"/>
      <c r="J19" s="242"/>
      <c r="K19" s="238"/>
      <c r="L19" s="631"/>
      <c r="M19" s="631"/>
      <c r="N19" s="631"/>
      <c r="O19" s="631"/>
      <c r="P19" s="631"/>
      <c r="Q19" s="241"/>
      <c r="R19" s="631"/>
      <c r="S19" s="632"/>
      <c r="AB19" s="237"/>
      <c r="AC19" s="237"/>
      <c r="AD19" s="237"/>
      <c r="AE19" s="237"/>
      <c r="AF19" s="237"/>
      <c r="AG19" s="237"/>
      <c r="AH19" s="237"/>
      <c r="AI19" s="237"/>
      <c r="AJ19" s="237"/>
      <c r="AK19" s="237"/>
      <c r="AL19" s="237"/>
      <c r="AM19" s="237"/>
      <c r="AN19" s="237"/>
      <c r="AO19" s="237"/>
      <c r="AP19" s="237"/>
      <c r="AQ19" s="237"/>
    </row>
    <row r="20" spans="1:43" s="236" customFormat="1" ht="15" customHeight="1" x14ac:dyDescent="0.2">
      <c r="A20" s="633" t="s">
        <v>142</v>
      </c>
      <c r="B20" s="634"/>
      <c r="C20" s="634"/>
      <c r="D20" s="634"/>
      <c r="E20" s="634"/>
      <c r="F20" s="634"/>
      <c r="G20" s="635"/>
      <c r="H20" s="635"/>
      <c r="I20" s="238"/>
      <c r="J20" s="239" t="s">
        <v>98</v>
      </c>
      <c r="K20" s="238"/>
      <c r="L20" s="635" t="s">
        <v>143</v>
      </c>
      <c r="M20" s="635"/>
      <c r="N20" s="635"/>
      <c r="O20" s="635"/>
      <c r="P20" s="635"/>
      <c r="Q20" s="243"/>
      <c r="R20" s="636" t="s">
        <v>98</v>
      </c>
      <c r="S20" s="637"/>
      <c r="U20" s="628"/>
      <c r="V20" s="628"/>
      <c r="W20" s="628"/>
      <c r="X20" s="628"/>
      <c r="Y20" s="628"/>
      <c r="Z20" s="628"/>
      <c r="AA20" s="628"/>
      <c r="AB20" s="237"/>
      <c r="AC20" s="237"/>
      <c r="AD20" s="237"/>
      <c r="AE20" s="237"/>
      <c r="AF20" s="237"/>
      <c r="AG20" s="237"/>
      <c r="AH20" s="237"/>
      <c r="AI20" s="237"/>
      <c r="AJ20" s="237"/>
      <c r="AK20" s="237"/>
      <c r="AL20" s="237"/>
      <c r="AM20" s="237"/>
      <c r="AN20" s="237"/>
      <c r="AO20" s="237"/>
      <c r="AP20" s="237"/>
      <c r="AQ20" s="237"/>
    </row>
    <row r="21" spans="1:43" s="236" customFormat="1" ht="27.75" customHeight="1" x14ac:dyDescent="0.2">
      <c r="A21" s="650"/>
      <c r="B21" s="651"/>
      <c r="C21" s="651"/>
      <c r="D21" s="651"/>
      <c r="E21" s="651"/>
      <c r="F21" s="651"/>
      <c r="G21" s="651"/>
      <c r="H21" s="651"/>
      <c r="I21" s="244"/>
      <c r="J21" s="245"/>
      <c r="K21" s="238"/>
      <c r="L21" s="652"/>
      <c r="M21" s="652"/>
      <c r="N21" s="652"/>
      <c r="O21" s="652"/>
      <c r="P21" s="652"/>
      <c r="Q21" s="246"/>
      <c r="R21" s="653"/>
      <c r="S21" s="654"/>
      <c r="AB21" s="237"/>
      <c r="AC21" s="237"/>
      <c r="AD21" s="237"/>
      <c r="AE21" s="237"/>
      <c r="AF21" s="237"/>
      <c r="AG21" s="237"/>
      <c r="AH21" s="237"/>
      <c r="AI21" s="237"/>
      <c r="AJ21" s="237"/>
      <c r="AK21" s="237"/>
      <c r="AL21" s="237"/>
      <c r="AM21" s="237"/>
      <c r="AN21" s="237"/>
      <c r="AO21" s="237"/>
      <c r="AP21" s="237"/>
      <c r="AQ21" s="237"/>
    </row>
    <row r="22" spans="1:43" s="236" customFormat="1" ht="15" customHeight="1" x14ac:dyDescent="0.2">
      <c r="A22" s="664" t="s">
        <v>144</v>
      </c>
      <c r="B22" s="665"/>
      <c r="C22" s="665"/>
      <c r="D22" s="665"/>
      <c r="E22" s="665"/>
      <c r="F22" s="665"/>
      <c r="G22" s="665"/>
      <c r="H22" s="665"/>
      <c r="I22" s="247"/>
      <c r="J22" s="248" t="s">
        <v>98</v>
      </c>
      <c r="K22" s="249"/>
      <c r="L22" s="666" t="s">
        <v>145</v>
      </c>
      <c r="M22" s="666"/>
      <c r="N22" s="666"/>
      <c r="O22" s="666"/>
      <c r="P22" s="666"/>
      <c r="Q22" s="250"/>
      <c r="R22" s="667" t="s">
        <v>98</v>
      </c>
      <c r="S22" s="668"/>
      <c r="AB22" s="237"/>
      <c r="AC22" s="237"/>
      <c r="AD22" s="237"/>
      <c r="AE22" s="237"/>
      <c r="AF22" s="237"/>
      <c r="AG22" s="237"/>
      <c r="AH22" s="237"/>
      <c r="AI22" s="237"/>
      <c r="AJ22" s="237"/>
      <c r="AK22" s="237"/>
      <c r="AL22" s="237"/>
      <c r="AM22" s="237"/>
      <c r="AN22" s="237"/>
      <c r="AO22" s="237"/>
      <c r="AP22" s="237"/>
      <c r="AQ22" s="237"/>
    </row>
    <row r="23" spans="1:43" s="236" customFormat="1" ht="17.25" customHeight="1" x14ac:dyDescent="0.2">
      <c r="A23" s="655" t="s">
        <v>146</v>
      </c>
      <c r="B23" s="656"/>
      <c r="C23" s="656"/>
      <c r="D23" s="656"/>
      <c r="E23" s="656"/>
      <c r="F23" s="656"/>
      <c r="G23" s="656"/>
      <c r="H23" s="656"/>
      <c r="I23" s="656"/>
      <c r="J23" s="656"/>
      <c r="K23" s="656"/>
      <c r="L23" s="656"/>
      <c r="M23" s="656"/>
      <c r="N23" s="656"/>
      <c r="O23" s="656"/>
      <c r="P23" s="656"/>
      <c r="Q23" s="656"/>
      <c r="R23" s="656"/>
      <c r="S23" s="657"/>
      <c r="AB23" s="237"/>
      <c r="AC23" s="237"/>
      <c r="AD23" s="237"/>
      <c r="AE23" s="237"/>
      <c r="AF23" s="237"/>
      <c r="AG23" s="237"/>
      <c r="AH23" s="237"/>
      <c r="AI23" s="237"/>
      <c r="AJ23" s="237"/>
      <c r="AK23" s="237"/>
      <c r="AL23" s="237"/>
      <c r="AM23" s="237"/>
      <c r="AN23" s="237"/>
      <c r="AO23" s="237"/>
      <c r="AP23" s="237"/>
      <c r="AQ23" s="237"/>
    </row>
    <row r="24" spans="1:43" s="225" customFormat="1" ht="14.25" customHeight="1" x14ac:dyDescent="0.2">
      <c r="A24" s="658" t="s">
        <v>147</v>
      </c>
      <c r="B24" s="659"/>
      <c r="C24" s="659"/>
      <c r="D24" s="660"/>
      <c r="E24" s="659" t="s">
        <v>287</v>
      </c>
      <c r="F24" s="659"/>
      <c r="G24" s="659"/>
      <c r="H24" s="659"/>
      <c r="I24" s="659"/>
      <c r="J24" s="659"/>
      <c r="K24" s="659"/>
      <c r="L24" s="659"/>
      <c r="M24" s="659"/>
      <c r="N24" s="659"/>
      <c r="O24" s="659"/>
      <c r="P24" s="659"/>
      <c r="Q24" s="659"/>
      <c r="R24" s="659"/>
      <c r="S24" s="660"/>
      <c r="U24" s="558" t="s">
        <v>288</v>
      </c>
      <c r="V24" s="558"/>
      <c r="W24" s="558"/>
      <c r="X24" s="558"/>
      <c r="Y24" s="558"/>
      <c r="Z24" s="558"/>
      <c r="AA24" s="558"/>
      <c r="AB24" s="226"/>
      <c r="AC24" s="226"/>
      <c r="AD24" s="226"/>
      <c r="AE24" s="226"/>
      <c r="AF24" s="226"/>
      <c r="AG24" s="226"/>
      <c r="AH24" s="226"/>
      <c r="AI24" s="226"/>
      <c r="AJ24" s="226"/>
      <c r="AK24" s="226"/>
      <c r="AL24" s="226"/>
      <c r="AM24" s="226"/>
      <c r="AN24" s="226"/>
      <c r="AO24" s="226"/>
      <c r="AP24" s="226"/>
      <c r="AQ24" s="226"/>
    </row>
    <row r="25" spans="1:43" s="225" customFormat="1" ht="61.5" customHeight="1" x14ac:dyDescent="0.2">
      <c r="A25" s="661" t="s">
        <v>289</v>
      </c>
      <c r="B25" s="669"/>
      <c r="C25" s="669"/>
      <c r="D25" s="669"/>
      <c r="E25" s="669"/>
      <c r="F25" s="669"/>
      <c r="G25" s="669"/>
      <c r="H25" s="661" t="s">
        <v>383</v>
      </c>
      <c r="I25" s="669"/>
      <c r="J25" s="351"/>
      <c r="K25" s="350"/>
      <c r="L25" s="349" t="s">
        <v>74</v>
      </c>
      <c r="M25" s="349" t="s">
        <v>75</v>
      </c>
      <c r="N25" s="349" t="s">
        <v>76</v>
      </c>
      <c r="O25" s="349" t="s">
        <v>77</v>
      </c>
      <c r="P25" s="349" t="s">
        <v>78</v>
      </c>
      <c r="Q25" s="661" t="s">
        <v>148</v>
      </c>
      <c r="R25" s="662"/>
      <c r="S25" s="663"/>
      <c r="U25" s="558"/>
      <c r="V25" s="558"/>
      <c r="W25" s="558"/>
      <c r="X25" s="558"/>
      <c r="Y25" s="558"/>
      <c r="Z25" s="558"/>
      <c r="AA25" s="558"/>
      <c r="AB25" s="226"/>
      <c r="AC25" s="226"/>
      <c r="AD25" s="237"/>
      <c r="AE25" s="226"/>
      <c r="AF25" s="226"/>
      <c r="AG25" s="226"/>
      <c r="AH25" s="226"/>
      <c r="AI25" s="226"/>
      <c r="AJ25" s="226"/>
      <c r="AK25" s="226"/>
      <c r="AL25" s="226"/>
      <c r="AM25" s="226"/>
      <c r="AN25" s="226"/>
      <c r="AO25" s="226"/>
      <c r="AP25" s="226"/>
      <c r="AQ25" s="226"/>
    </row>
    <row r="26" spans="1:43" s="236" customFormat="1" ht="12.95" customHeight="1" x14ac:dyDescent="0.2">
      <c r="A26" s="559" t="s">
        <v>149</v>
      </c>
      <c r="B26" s="560"/>
      <c r="C26" s="560"/>
      <c r="D26" s="561"/>
      <c r="E26" s="670" t="str">
        <f>IF(Estimation!E12=0, "", Estimation!E12)</f>
        <v/>
      </c>
      <c r="F26" s="671"/>
      <c r="G26" s="671"/>
      <c r="H26" s="642"/>
      <c r="I26" s="643"/>
      <c r="J26" s="565" t="s">
        <v>290</v>
      </c>
      <c r="K26" s="537"/>
      <c r="L26" s="275">
        <f>Estimation!AF22</f>
        <v>0</v>
      </c>
      <c r="M26" s="275">
        <f>Estimation!AH22</f>
        <v>0</v>
      </c>
      <c r="N26" s="275">
        <f>Estimation!AJ22</f>
        <v>0</v>
      </c>
      <c r="O26" s="275">
        <f>Estimation!AL22</f>
        <v>0</v>
      </c>
      <c r="P26" s="275">
        <f>Estimation!AN22</f>
        <v>0</v>
      </c>
      <c r="Q26" s="538">
        <f t="shared" ref="Q26:Q35" si="0">SUM(L26:P26)</f>
        <v>0</v>
      </c>
      <c r="R26" s="538"/>
      <c r="S26" s="538"/>
      <c r="U26" s="558"/>
      <c r="V26" s="558"/>
      <c r="W26" s="558"/>
      <c r="X26" s="558"/>
      <c r="Y26" s="558"/>
      <c r="Z26" s="558"/>
      <c r="AA26" s="558"/>
      <c r="AB26" s="237"/>
      <c r="AC26" s="237"/>
      <c r="AD26" s="237"/>
      <c r="AE26" s="237"/>
      <c r="AF26" s="237"/>
      <c r="AG26" s="237"/>
      <c r="AH26" s="237"/>
      <c r="AI26" s="237"/>
      <c r="AJ26" s="237"/>
      <c r="AK26" s="237"/>
      <c r="AL26" s="237"/>
      <c r="AM26" s="237"/>
      <c r="AN26" s="237"/>
      <c r="AO26" s="237"/>
      <c r="AP26" s="237"/>
      <c r="AQ26" s="237"/>
    </row>
    <row r="27" spans="1:43" s="236" customFormat="1" ht="14.25" customHeight="1" x14ac:dyDescent="0.2">
      <c r="A27" s="562"/>
      <c r="B27" s="563"/>
      <c r="C27" s="563"/>
      <c r="D27" s="564"/>
      <c r="E27" s="644"/>
      <c r="F27" s="672"/>
      <c r="G27" s="672"/>
      <c r="H27" s="644"/>
      <c r="I27" s="645"/>
      <c r="J27" s="565" t="s">
        <v>6</v>
      </c>
      <c r="K27" s="537"/>
      <c r="L27" s="275">
        <f>Estimation!AF69</f>
        <v>0</v>
      </c>
      <c r="M27" s="275">
        <f>Estimation!AH69</f>
        <v>0</v>
      </c>
      <c r="N27" s="275">
        <f>Estimation!AJ69</f>
        <v>0</v>
      </c>
      <c r="O27" s="275">
        <f>Estimation!AL69</f>
        <v>0</v>
      </c>
      <c r="P27" s="275">
        <f>Estimation!AN69</f>
        <v>0</v>
      </c>
      <c r="Q27" s="538">
        <f t="shared" si="0"/>
        <v>0</v>
      </c>
      <c r="R27" s="538"/>
      <c r="S27" s="538"/>
      <c r="U27" s="558"/>
      <c r="V27" s="558"/>
      <c r="W27" s="558"/>
      <c r="X27" s="558"/>
      <c r="Y27" s="558"/>
      <c r="Z27" s="558"/>
      <c r="AA27" s="558"/>
      <c r="AB27" s="237"/>
      <c r="AC27" s="237"/>
      <c r="AD27" s="237"/>
      <c r="AE27" s="237"/>
      <c r="AF27" s="237"/>
      <c r="AG27" s="237"/>
      <c r="AH27" s="237"/>
      <c r="AI27" s="237"/>
      <c r="AJ27" s="237"/>
      <c r="AK27" s="237"/>
      <c r="AL27" s="237"/>
      <c r="AM27" s="237"/>
      <c r="AN27" s="237"/>
      <c r="AO27" s="237"/>
      <c r="AP27" s="237"/>
      <c r="AQ27" s="237"/>
    </row>
    <row r="28" spans="1:43" s="236" customFormat="1" ht="14.25" customHeight="1" outlineLevel="1" x14ac:dyDescent="0.2">
      <c r="A28" s="559" t="s">
        <v>291</v>
      </c>
      <c r="B28" s="560"/>
      <c r="C28" s="560"/>
      <c r="D28" s="561"/>
      <c r="E28" s="670" t="str">
        <f>IF(Estimation!E13=0, "", Estimation!E13)</f>
        <v/>
      </c>
      <c r="F28" s="671"/>
      <c r="G28" s="671"/>
      <c r="H28" s="646"/>
      <c r="I28" s="647"/>
      <c r="J28" s="565" t="s">
        <v>290</v>
      </c>
      <c r="K28" s="537"/>
      <c r="L28" s="275">
        <f>Estimation!AF24</f>
        <v>0</v>
      </c>
      <c r="M28" s="275">
        <f>Estimation!AH24</f>
        <v>0</v>
      </c>
      <c r="N28" s="275">
        <f>Estimation!AJ24</f>
        <v>0</v>
      </c>
      <c r="O28" s="275">
        <f>Estimation!AL24</f>
        <v>0</v>
      </c>
      <c r="P28" s="275">
        <f>Estimation!AN24</f>
        <v>0</v>
      </c>
      <c r="Q28" s="538">
        <f t="shared" si="0"/>
        <v>0</v>
      </c>
      <c r="R28" s="538"/>
      <c r="S28" s="538"/>
      <c r="U28" s="558"/>
      <c r="V28" s="558"/>
      <c r="W28" s="558"/>
      <c r="X28" s="558"/>
      <c r="Y28" s="558"/>
      <c r="Z28" s="558"/>
      <c r="AA28" s="558"/>
      <c r="AB28" s="237"/>
      <c r="AC28" s="237"/>
      <c r="AD28" s="237"/>
      <c r="AE28" s="237"/>
      <c r="AF28" s="237"/>
      <c r="AG28" s="237"/>
      <c r="AH28" s="237"/>
      <c r="AI28" s="237"/>
      <c r="AJ28" s="237"/>
      <c r="AK28" s="237"/>
      <c r="AL28" s="237"/>
      <c r="AM28" s="237"/>
      <c r="AN28" s="237"/>
      <c r="AO28" s="237"/>
      <c r="AP28" s="237"/>
      <c r="AQ28" s="237"/>
    </row>
    <row r="29" spans="1:43" s="236" customFormat="1" ht="14.25" customHeight="1" outlineLevel="1" x14ac:dyDescent="0.2">
      <c r="A29" s="562"/>
      <c r="B29" s="563"/>
      <c r="C29" s="563"/>
      <c r="D29" s="564"/>
      <c r="E29" s="644"/>
      <c r="F29" s="672"/>
      <c r="G29" s="672"/>
      <c r="H29" s="648"/>
      <c r="I29" s="649"/>
      <c r="J29" s="565" t="s">
        <v>6</v>
      </c>
      <c r="K29" s="537"/>
      <c r="L29" s="275">
        <f>Estimation!AF70</f>
        <v>0</v>
      </c>
      <c r="M29" s="275">
        <f>Estimation!AH70</f>
        <v>0</v>
      </c>
      <c r="N29" s="275">
        <f>Estimation!AJ70</f>
        <v>0</v>
      </c>
      <c r="O29" s="275">
        <f>Estimation!AL70</f>
        <v>0</v>
      </c>
      <c r="P29" s="275">
        <f>Estimation!AN70</f>
        <v>0</v>
      </c>
      <c r="Q29" s="538">
        <f t="shared" si="0"/>
        <v>0</v>
      </c>
      <c r="R29" s="538"/>
      <c r="S29" s="538"/>
      <c r="U29" s="558"/>
      <c r="V29" s="558"/>
      <c r="W29" s="558"/>
      <c r="X29" s="558"/>
      <c r="Y29" s="558"/>
      <c r="Z29" s="558"/>
      <c r="AA29" s="558"/>
      <c r="AB29" s="237"/>
      <c r="AC29" s="237"/>
      <c r="AD29" s="237"/>
      <c r="AE29" s="237"/>
      <c r="AF29" s="237"/>
      <c r="AG29" s="237"/>
      <c r="AH29" s="237"/>
      <c r="AI29" s="237"/>
      <c r="AJ29" s="237"/>
      <c r="AK29" s="237"/>
      <c r="AL29" s="237"/>
      <c r="AM29" s="237"/>
      <c r="AN29" s="237"/>
      <c r="AO29" s="237"/>
      <c r="AP29" s="237"/>
      <c r="AQ29" s="237"/>
    </row>
    <row r="30" spans="1:43" s="236" customFormat="1" ht="14.25" customHeight="1" outlineLevel="1" x14ac:dyDescent="0.2">
      <c r="A30" s="559" t="s">
        <v>293</v>
      </c>
      <c r="B30" s="560"/>
      <c r="C30" s="560"/>
      <c r="D30" s="561"/>
      <c r="E30" s="670" t="str">
        <f>IF(Estimation!E14=0, "", Estimation!E14)</f>
        <v/>
      </c>
      <c r="F30" s="671"/>
      <c r="G30" s="671"/>
      <c r="H30" s="646"/>
      <c r="I30" s="647"/>
      <c r="J30" s="565" t="s">
        <v>290</v>
      </c>
      <c r="K30" s="537"/>
      <c r="L30" s="275">
        <f>Estimation!AF26</f>
        <v>0</v>
      </c>
      <c r="M30" s="275">
        <f>Estimation!AH26</f>
        <v>0</v>
      </c>
      <c r="N30" s="275">
        <f>Estimation!AJ26</f>
        <v>0</v>
      </c>
      <c r="O30" s="275">
        <f>Estimation!AL26</f>
        <v>0</v>
      </c>
      <c r="P30" s="275">
        <f>Estimation!AN26</f>
        <v>0</v>
      </c>
      <c r="Q30" s="538">
        <f t="shared" si="0"/>
        <v>0</v>
      </c>
      <c r="R30" s="538"/>
      <c r="S30" s="538"/>
      <c r="U30" s="558"/>
      <c r="V30" s="558"/>
      <c r="W30" s="558"/>
      <c r="X30" s="558"/>
      <c r="Y30" s="558"/>
      <c r="Z30" s="558"/>
      <c r="AA30" s="558"/>
      <c r="AB30" s="237"/>
      <c r="AC30" s="237"/>
      <c r="AD30" s="237"/>
      <c r="AE30" s="237"/>
      <c r="AF30" s="237"/>
      <c r="AG30" s="237"/>
      <c r="AH30" s="237"/>
      <c r="AI30" s="237"/>
      <c r="AJ30" s="237"/>
      <c r="AK30" s="237"/>
      <c r="AL30" s="237"/>
      <c r="AM30" s="237"/>
      <c r="AN30" s="237"/>
      <c r="AO30" s="237"/>
      <c r="AP30" s="237"/>
      <c r="AQ30" s="237"/>
    </row>
    <row r="31" spans="1:43" s="236" customFormat="1" ht="14.25" customHeight="1" outlineLevel="1" x14ac:dyDescent="0.2">
      <c r="A31" s="562"/>
      <c r="B31" s="563"/>
      <c r="C31" s="563"/>
      <c r="D31" s="564"/>
      <c r="E31" s="644"/>
      <c r="F31" s="672"/>
      <c r="G31" s="672"/>
      <c r="H31" s="648"/>
      <c r="I31" s="649"/>
      <c r="J31" s="565" t="s">
        <v>6</v>
      </c>
      <c r="K31" s="537"/>
      <c r="L31" s="275">
        <f>Estimation!AF71</f>
        <v>0</v>
      </c>
      <c r="M31" s="275">
        <f>Estimation!AH71</f>
        <v>0</v>
      </c>
      <c r="N31" s="275">
        <f>Estimation!AJ71</f>
        <v>0</v>
      </c>
      <c r="O31" s="275">
        <f>Estimation!AL71</f>
        <v>0</v>
      </c>
      <c r="P31" s="275">
        <f>Estimation!AN71</f>
        <v>0</v>
      </c>
      <c r="Q31" s="538">
        <f t="shared" si="0"/>
        <v>0</v>
      </c>
      <c r="R31" s="538"/>
      <c r="S31" s="538"/>
      <c r="U31" s="252"/>
      <c r="V31" s="252"/>
      <c r="AB31" s="237"/>
      <c r="AC31" s="237"/>
      <c r="AD31" s="237"/>
      <c r="AE31" s="237"/>
      <c r="AF31" s="237"/>
      <c r="AG31" s="237"/>
      <c r="AH31" s="237"/>
      <c r="AI31" s="237"/>
      <c r="AJ31" s="237"/>
      <c r="AK31" s="237"/>
      <c r="AL31" s="237"/>
      <c r="AM31" s="237"/>
      <c r="AN31" s="237"/>
      <c r="AO31" s="237"/>
      <c r="AP31" s="237"/>
      <c r="AQ31" s="237"/>
    </row>
    <row r="32" spans="1:43" s="236" customFormat="1" ht="14.25" customHeight="1" outlineLevel="1" x14ac:dyDescent="0.2">
      <c r="A32" s="559" t="s">
        <v>294</v>
      </c>
      <c r="B32" s="560"/>
      <c r="C32" s="560"/>
      <c r="D32" s="561"/>
      <c r="E32" s="670" t="str">
        <f>IF(Estimation!E15=0, "", Estimation!E15)</f>
        <v/>
      </c>
      <c r="F32" s="671"/>
      <c r="G32" s="671"/>
      <c r="H32" s="646"/>
      <c r="I32" s="647"/>
      <c r="J32" s="565" t="s">
        <v>290</v>
      </c>
      <c r="K32" s="537"/>
      <c r="L32" s="275">
        <f>Estimation!AF28</f>
        <v>0</v>
      </c>
      <c r="M32" s="275">
        <f>Estimation!AH28</f>
        <v>0</v>
      </c>
      <c r="N32" s="275">
        <f>Estimation!AJ28</f>
        <v>0</v>
      </c>
      <c r="O32" s="275">
        <f>Estimation!AL28</f>
        <v>0</v>
      </c>
      <c r="P32" s="275">
        <f>Estimation!AN28</f>
        <v>0</v>
      </c>
      <c r="Q32" s="538">
        <f t="shared" si="0"/>
        <v>0</v>
      </c>
      <c r="R32" s="538"/>
      <c r="S32" s="538"/>
      <c r="U32" s="252"/>
      <c r="V32" s="252"/>
      <c r="AB32" s="237"/>
      <c r="AC32" s="237"/>
      <c r="AD32" s="237"/>
      <c r="AE32" s="237"/>
      <c r="AF32" s="237"/>
      <c r="AG32" s="237"/>
      <c r="AH32" s="237"/>
      <c r="AI32" s="237"/>
      <c r="AJ32" s="237"/>
      <c r="AK32" s="237"/>
      <c r="AL32" s="237"/>
      <c r="AM32" s="237"/>
      <c r="AN32" s="237"/>
      <c r="AO32" s="237"/>
      <c r="AP32" s="237"/>
      <c r="AQ32" s="237"/>
    </row>
    <row r="33" spans="1:43" s="236" customFormat="1" ht="14.25" customHeight="1" outlineLevel="1" x14ac:dyDescent="0.2">
      <c r="A33" s="562"/>
      <c r="B33" s="563"/>
      <c r="C33" s="563"/>
      <c r="D33" s="564"/>
      <c r="E33" s="644"/>
      <c r="F33" s="672"/>
      <c r="G33" s="672"/>
      <c r="H33" s="648"/>
      <c r="I33" s="649"/>
      <c r="J33" s="565" t="s">
        <v>6</v>
      </c>
      <c r="K33" s="537"/>
      <c r="L33" s="275">
        <f>Estimation!AF72</f>
        <v>0</v>
      </c>
      <c r="M33" s="275">
        <f>Estimation!AH72</f>
        <v>0</v>
      </c>
      <c r="N33" s="275">
        <f>Estimation!AJ72</f>
        <v>0</v>
      </c>
      <c r="O33" s="275">
        <f>Estimation!AL72</f>
        <v>0</v>
      </c>
      <c r="P33" s="275">
        <f>Estimation!AN72</f>
        <v>0</v>
      </c>
      <c r="Q33" s="538">
        <f t="shared" si="0"/>
        <v>0</v>
      </c>
      <c r="R33" s="538"/>
      <c r="S33" s="538"/>
      <c r="U33" s="252"/>
      <c r="V33" s="252"/>
      <c r="AB33" s="237"/>
      <c r="AC33" s="237"/>
      <c r="AD33" s="237"/>
      <c r="AE33" s="237"/>
      <c r="AF33" s="237"/>
      <c r="AG33" s="237"/>
      <c r="AH33" s="237"/>
      <c r="AI33" s="237"/>
      <c r="AJ33" s="237"/>
      <c r="AK33" s="237"/>
      <c r="AL33" s="237"/>
      <c r="AM33" s="237"/>
      <c r="AN33" s="237"/>
      <c r="AO33" s="237"/>
      <c r="AP33" s="237"/>
      <c r="AQ33" s="237"/>
    </row>
    <row r="34" spans="1:43" s="236" customFormat="1" ht="14.25" customHeight="1" outlineLevel="1" x14ac:dyDescent="0.2">
      <c r="A34" s="559" t="s">
        <v>295</v>
      </c>
      <c r="B34" s="560"/>
      <c r="C34" s="560"/>
      <c r="D34" s="561"/>
      <c r="E34" s="670" t="str">
        <f>IF(Estimation!E16=0, "", Estimation!E16)</f>
        <v/>
      </c>
      <c r="F34" s="671"/>
      <c r="G34" s="671"/>
      <c r="H34" s="646"/>
      <c r="I34" s="647"/>
      <c r="J34" s="565" t="s">
        <v>290</v>
      </c>
      <c r="K34" s="537"/>
      <c r="L34" s="275">
        <f>Estimation!AF30</f>
        <v>0</v>
      </c>
      <c r="M34" s="275">
        <f>Estimation!AH30</f>
        <v>0</v>
      </c>
      <c r="N34" s="275">
        <f>Estimation!AJ30</f>
        <v>0</v>
      </c>
      <c r="O34" s="275">
        <f>Estimation!AL30</f>
        <v>0</v>
      </c>
      <c r="P34" s="275">
        <f>Estimation!AN30</f>
        <v>0</v>
      </c>
      <c r="Q34" s="538">
        <f t="shared" si="0"/>
        <v>0</v>
      </c>
      <c r="R34" s="538"/>
      <c r="S34" s="538"/>
      <c r="U34" s="252"/>
      <c r="V34" s="252"/>
      <c r="AB34" s="237"/>
      <c r="AC34" s="237"/>
      <c r="AD34" s="237"/>
      <c r="AE34" s="237"/>
      <c r="AF34" s="237"/>
      <c r="AG34" s="237"/>
      <c r="AH34" s="237"/>
      <c r="AI34" s="237"/>
      <c r="AJ34" s="237"/>
      <c r="AK34" s="237"/>
      <c r="AL34" s="237"/>
      <c r="AM34" s="237"/>
      <c r="AN34" s="237"/>
      <c r="AO34" s="237"/>
      <c r="AP34" s="237"/>
      <c r="AQ34" s="237"/>
    </row>
    <row r="35" spans="1:43" s="236" customFormat="1" ht="14.25" customHeight="1" outlineLevel="1" x14ac:dyDescent="0.2">
      <c r="A35" s="562"/>
      <c r="B35" s="563"/>
      <c r="C35" s="563"/>
      <c r="D35" s="564"/>
      <c r="E35" s="644"/>
      <c r="F35" s="672"/>
      <c r="G35" s="672"/>
      <c r="H35" s="648"/>
      <c r="I35" s="649"/>
      <c r="J35" s="565" t="s">
        <v>6</v>
      </c>
      <c r="K35" s="537"/>
      <c r="L35" s="275">
        <f>Estimation!AF73</f>
        <v>0</v>
      </c>
      <c r="M35" s="275">
        <f>Estimation!AH73</f>
        <v>0</v>
      </c>
      <c r="N35" s="275">
        <f>Estimation!AJ73</f>
        <v>0</v>
      </c>
      <c r="O35" s="275">
        <f>Estimation!AL73</f>
        <v>0</v>
      </c>
      <c r="P35" s="275">
        <f>Estimation!AN73</f>
        <v>0</v>
      </c>
      <c r="Q35" s="538">
        <f t="shared" si="0"/>
        <v>0</v>
      </c>
      <c r="R35" s="538"/>
      <c r="S35" s="538"/>
      <c r="U35" s="252"/>
      <c r="V35" s="252"/>
      <c r="AB35" s="237"/>
      <c r="AC35" s="237"/>
      <c r="AD35" s="237"/>
      <c r="AE35" s="237"/>
      <c r="AF35" s="237"/>
      <c r="AG35" s="237"/>
      <c r="AH35" s="237"/>
      <c r="AI35" s="237"/>
      <c r="AJ35" s="237"/>
      <c r="AK35" s="237"/>
      <c r="AL35" s="237"/>
      <c r="AM35" s="237"/>
      <c r="AN35" s="237"/>
      <c r="AO35" s="237"/>
      <c r="AP35" s="237"/>
      <c r="AQ35" s="237"/>
    </row>
    <row r="36" spans="1:43" s="236" customFormat="1" ht="3.6" customHeight="1" x14ac:dyDescent="0.2">
      <c r="A36" s="253"/>
      <c r="B36" s="254"/>
      <c r="C36" s="254"/>
      <c r="D36" s="255"/>
      <c r="E36" s="284"/>
      <c r="F36" s="284"/>
      <c r="G36" s="284"/>
      <c r="H36" s="286"/>
      <c r="I36" s="285"/>
      <c r="J36" s="256"/>
      <c r="K36" s="257"/>
      <c r="L36" s="274"/>
      <c r="M36" s="274"/>
      <c r="N36" s="274"/>
      <c r="O36" s="274"/>
      <c r="P36" s="274"/>
      <c r="Q36" s="538"/>
      <c r="R36" s="538"/>
      <c r="S36" s="538"/>
      <c r="U36" s="252"/>
      <c r="V36" s="252"/>
      <c r="AB36" s="237"/>
      <c r="AC36" s="237"/>
      <c r="AD36" s="237"/>
      <c r="AE36" s="237"/>
      <c r="AF36" s="237"/>
      <c r="AG36" s="237"/>
      <c r="AH36" s="237"/>
      <c r="AI36" s="237"/>
      <c r="AJ36" s="237"/>
      <c r="AK36" s="237"/>
      <c r="AL36" s="237"/>
      <c r="AM36" s="237"/>
      <c r="AN36" s="237"/>
      <c r="AO36" s="237"/>
      <c r="AP36" s="237"/>
      <c r="AQ36" s="237"/>
    </row>
    <row r="37" spans="1:43" s="236" customFormat="1" ht="14.25" hidden="1" customHeight="1" outlineLevel="1" x14ac:dyDescent="0.2">
      <c r="A37" s="673" t="s">
        <v>296</v>
      </c>
      <c r="B37" s="674"/>
      <c r="C37" s="674"/>
      <c r="D37" s="675"/>
      <c r="E37" s="679" t="s">
        <v>292</v>
      </c>
      <c r="F37" s="680"/>
      <c r="G37" s="680"/>
      <c r="H37" s="646"/>
      <c r="I37" s="647"/>
      <c r="J37" s="565" t="s">
        <v>290</v>
      </c>
      <c r="K37" s="537"/>
      <c r="L37" s="274"/>
      <c r="M37" s="274"/>
      <c r="N37" s="274"/>
      <c r="O37" s="274"/>
      <c r="P37" s="274"/>
      <c r="Q37" s="538">
        <f t="shared" ref="Q37:Q44" si="1">SUM(L37:P37)</f>
        <v>0</v>
      </c>
      <c r="R37" s="538"/>
      <c r="S37" s="538"/>
      <c r="U37" s="252"/>
      <c r="V37" s="252"/>
      <c r="AB37" s="237"/>
      <c r="AC37" s="237"/>
      <c r="AD37" s="237"/>
      <c r="AE37" s="237"/>
      <c r="AF37" s="237"/>
      <c r="AG37" s="237"/>
      <c r="AH37" s="237"/>
      <c r="AI37" s="237"/>
      <c r="AJ37" s="237"/>
      <c r="AK37" s="237"/>
      <c r="AL37" s="237"/>
      <c r="AM37" s="237"/>
      <c r="AN37" s="237"/>
      <c r="AO37" s="237"/>
      <c r="AP37" s="237"/>
      <c r="AQ37" s="237"/>
    </row>
    <row r="38" spans="1:43" s="236" customFormat="1" ht="14.25" hidden="1" customHeight="1" outlineLevel="1" x14ac:dyDescent="0.2">
      <c r="A38" s="676"/>
      <c r="B38" s="677"/>
      <c r="C38" s="677"/>
      <c r="D38" s="678"/>
      <c r="E38" s="681"/>
      <c r="F38" s="682"/>
      <c r="G38" s="682"/>
      <c r="H38" s="648"/>
      <c r="I38" s="649"/>
      <c r="J38" s="565" t="s">
        <v>6</v>
      </c>
      <c r="K38" s="537"/>
      <c r="L38" s="274"/>
      <c r="M38" s="274"/>
      <c r="N38" s="274"/>
      <c r="O38" s="274"/>
      <c r="P38" s="274"/>
      <c r="Q38" s="538">
        <f t="shared" si="1"/>
        <v>0</v>
      </c>
      <c r="R38" s="538"/>
      <c r="S38" s="538"/>
      <c r="U38" s="252"/>
      <c r="V38" s="252"/>
      <c r="AB38" s="237"/>
      <c r="AC38" s="237"/>
      <c r="AD38" s="237"/>
      <c r="AE38" s="237"/>
      <c r="AF38" s="237"/>
      <c r="AG38" s="237"/>
      <c r="AH38" s="237"/>
      <c r="AI38" s="237"/>
      <c r="AJ38" s="237"/>
      <c r="AK38" s="237"/>
      <c r="AL38" s="237"/>
      <c r="AM38" s="237"/>
      <c r="AN38" s="237"/>
      <c r="AO38" s="237"/>
      <c r="AP38" s="237"/>
      <c r="AQ38" s="237"/>
    </row>
    <row r="39" spans="1:43" s="236" customFormat="1" ht="14.25" hidden="1" customHeight="1" outlineLevel="1" x14ac:dyDescent="0.2">
      <c r="A39" s="673" t="s">
        <v>296</v>
      </c>
      <c r="B39" s="674"/>
      <c r="C39" s="674"/>
      <c r="D39" s="675"/>
      <c r="E39" s="679" t="s">
        <v>292</v>
      </c>
      <c r="F39" s="680"/>
      <c r="G39" s="680"/>
      <c r="H39" s="646"/>
      <c r="I39" s="647"/>
      <c r="J39" s="565" t="s">
        <v>290</v>
      </c>
      <c r="K39" s="537"/>
      <c r="L39" s="274"/>
      <c r="M39" s="274"/>
      <c r="N39" s="274"/>
      <c r="O39" s="274"/>
      <c r="P39" s="274"/>
      <c r="Q39" s="538">
        <f t="shared" si="1"/>
        <v>0</v>
      </c>
      <c r="R39" s="538"/>
      <c r="S39" s="538"/>
      <c r="U39" s="252"/>
      <c r="V39" s="252"/>
      <c r="AB39" s="237"/>
      <c r="AC39" s="237"/>
      <c r="AD39" s="237"/>
      <c r="AE39" s="237"/>
      <c r="AF39" s="237"/>
      <c r="AG39" s="237"/>
      <c r="AH39" s="237"/>
      <c r="AI39" s="237"/>
      <c r="AJ39" s="237"/>
      <c r="AK39" s="237"/>
      <c r="AL39" s="237"/>
      <c r="AM39" s="237"/>
      <c r="AN39" s="237"/>
      <c r="AO39" s="237"/>
      <c r="AP39" s="237"/>
      <c r="AQ39" s="237"/>
    </row>
    <row r="40" spans="1:43" s="236" customFormat="1" ht="14.25" hidden="1" customHeight="1" outlineLevel="1" x14ac:dyDescent="0.2">
      <c r="A40" s="676"/>
      <c r="B40" s="677"/>
      <c r="C40" s="677"/>
      <c r="D40" s="678"/>
      <c r="E40" s="681"/>
      <c r="F40" s="682"/>
      <c r="G40" s="682"/>
      <c r="H40" s="648"/>
      <c r="I40" s="649"/>
      <c r="J40" s="565" t="s">
        <v>6</v>
      </c>
      <c r="K40" s="537"/>
      <c r="L40" s="274"/>
      <c r="M40" s="274"/>
      <c r="N40" s="274"/>
      <c r="O40" s="274"/>
      <c r="P40" s="274"/>
      <c r="Q40" s="538">
        <f t="shared" si="1"/>
        <v>0</v>
      </c>
      <c r="R40" s="538"/>
      <c r="S40" s="538"/>
      <c r="U40" s="252"/>
      <c r="V40" s="252"/>
      <c r="AB40" s="237"/>
      <c r="AC40" s="237"/>
      <c r="AD40" s="237"/>
      <c r="AE40" s="237"/>
      <c r="AF40" s="237"/>
      <c r="AG40" s="237"/>
      <c r="AH40" s="237"/>
      <c r="AI40" s="237"/>
      <c r="AJ40" s="237"/>
      <c r="AK40" s="237"/>
      <c r="AL40" s="237"/>
      <c r="AM40" s="237"/>
      <c r="AN40" s="237"/>
      <c r="AO40" s="237"/>
      <c r="AP40" s="237"/>
      <c r="AQ40" s="237"/>
    </row>
    <row r="41" spans="1:43" s="236" customFormat="1" ht="14.25" hidden="1" customHeight="1" outlineLevel="1" x14ac:dyDescent="0.2">
      <c r="A41" s="673" t="s">
        <v>296</v>
      </c>
      <c r="B41" s="674"/>
      <c r="C41" s="674"/>
      <c r="D41" s="675"/>
      <c r="E41" s="679" t="s">
        <v>292</v>
      </c>
      <c r="F41" s="680"/>
      <c r="G41" s="680"/>
      <c r="H41" s="646"/>
      <c r="I41" s="647"/>
      <c r="J41" s="565" t="s">
        <v>290</v>
      </c>
      <c r="K41" s="537"/>
      <c r="L41" s="274"/>
      <c r="M41" s="274"/>
      <c r="N41" s="274"/>
      <c r="O41" s="274"/>
      <c r="P41" s="274"/>
      <c r="Q41" s="538">
        <f t="shared" si="1"/>
        <v>0</v>
      </c>
      <c r="R41" s="538"/>
      <c r="S41" s="538"/>
      <c r="U41" s="252"/>
      <c r="V41" s="252"/>
      <c r="AB41" s="237"/>
      <c r="AC41" s="237"/>
      <c r="AD41" s="237"/>
      <c r="AE41" s="237"/>
      <c r="AF41" s="237"/>
      <c r="AG41" s="237"/>
      <c r="AH41" s="237"/>
      <c r="AI41" s="237"/>
      <c r="AJ41" s="237"/>
      <c r="AK41" s="237"/>
      <c r="AL41" s="237"/>
      <c r="AM41" s="237"/>
      <c r="AN41" s="237"/>
      <c r="AO41" s="237"/>
      <c r="AP41" s="237"/>
      <c r="AQ41" s="237"/>
    </row>
    <row r="42" spans="1:43" s="236" customFormat="1" ht="14.25" hidden="1" customHeight="1" outlineLevel="1" x14ac:dyDescent="0.2">
      <c r="A42" s="676"/>
      <c r="B42" s="677"/>
      <c r="C42" s="677"/>
      <c r="D42" s="678"/>
      <c r="E42" s="681"/>
      <c r="F42" s="682"/>
      <c r="G42" s="682"/>
      <c r="H42" s="648"/>
      <c r="I42" s="649"/>
      <c r="J42" s="565" t="s">
        <v>6</v>
      </c>
      <c r="K42" s="537"/>
      <c r="L42" s="274"/>
      <c r="M42" s="274"/>
      <c r="N42" s="274"/>
      <c r="O42" s="274"/>
      <c r="P42" s="274"/>
      <c r="Q42" s="538">
        <f t="shared" si="1"/>
        <v>0</v>
      </c>
      <c r="R42" s="538"/>
      <c r="S42" s="538"/>
      <c r="U42" s="252"/>
      <c r="V42" s="252"/>
      <c r="AB42" s="237"/>
      <c r="AC42" s="237"/>
      <c r="AD42" s="237"/>
      <c r="AE42" s="237"/>
      <c r="AF42" s="237"/>
      <c r="AG42" s="237"/>
      <c r="AH42" s="237"/>
      <c r="AI42" s="237"/>
      <c r="AJ42" s="237"/>
      <c r="AK42" s="237"/>
      <c r="AL42" s="237"/>
      <c r="AM42" s="237"/>
      <c r="AN42" s="237"/>
      <c r="AO42" s="237"/>
      <c r="AP42" s="237"/>
      <c r="AQ42" s="237"/>
    </row>
    <row r="43" spans="1:43" s="236" customFormat="1" ht="14.25" hidden="1" customHeight="1" outlineLevel="1" x14ac:dyDescent="0.2">
      <c r="A43" s="673" t="s">
        <v>296</v>
      </c>
      <c r="B43" s="674"/>
      <c r="C43" s="674"/>
      <c r="D43" s="675"/>
      <c r="E43" s="679" t="s">
        <v>292</v>
      </c>
      <c r="F43" s="680"/>
      <c r="G43" s="680"/>
      <c r="H43" s="646"/>
      <c r="I43" s="647"/>
      <c r="J43" s="565" t="s">
        <v>290</v>
      </c>
      <c r="K43" s="537"/>
      <c r="L43" s="274"/>
      <c r="M43" s="274"/>
      <c r="N43" s="274"/>
      <c r="O43" s="274"/>
      <c r="P43" s="274"/>
      <c r="Q43" s="538">
        <f t="shared" si="1"/>
        <v>0</v>
      </c>
      <c r="R43" s="538"/>
      <c r="S43" s="538"/>
      <c r="U43" s="252"/>
      <c r="V43" s="252"/>
      <c r="AB43" s="237"/>
      <c r="AC43" s="237"/>
      <c r="AD43" s="237"/>
      <c r="AE43" s="237"/>
      <c r="AF43" s="237"/>
      <c r="AG43" s="237"/>
      <c r="AH43" s="237"/>
      <c r="AI43" s="237"/>
      <c r="AJ43" s="237"/>
      <c r="AK43" s="237"/>
      <c r="AL43" s="237"/>
      <c r="AM43" s="237"/>
      <c r="AN43" s="237"/>
      <c r="AO43" s="237"/>
      <c r="AP43" s="237"/>
      <c r="AQ43" s="237"/>
    </row>
    <row r="44" spans="1:43" s="236" customFormat="1" ht="13.5" hidden="1" customHeight="1" outlineLevel="1" x14ac:dyDescent="0.2">
      <c r="A44" s="676"/>
      <c r="B44" s="677"/>
      <c r="C44" s="677"/>
      <c r="D44" s="678"/>
      <c r="E44" s="681"/>
      <c r="F44" s="682"/>
      <c r="G44" s="682"/>
      <c r="H44" s="648"/>
      <c r="I44" s="649"/>
      <c r="J44" s="565" t="s">
        <v>6</v>
      </c>
      <c r="K44" s="537"/>
      <c r="L44" s="274"/>
      <c r="M44" s="274"/>
      <c r="N44" s="274"/>
      <c r="O44" s="274"/>
      <c r="P44" s="274"/>
      <c r="Q44" s="538">
        <f t="shared" si="1"/>
        <v>0</v>
      </c>
      <c r="R44" s="538"/>
      <c r="S44" s="538"/>
      <c r="AB44" s="237"/>
      <c r="AC44" s="237"/>
      <c r="AD44" s="237"/>
      <c r="AE44" s="237"/>
      <c r="AF44" s="237"/>
      <c r="AG44" s="237"/>
      <c r="AH44" s="237"/>
      <c r="AI44" s="237"/>
      <c r="AJ44" s="237"/>
      <c r="AK44" s="237"/>
      <c r="AL44" s="237"/>
      <c r="AM44" s="237"/>
      <c r="AN44" s="237"/>
      <c r="AO44" s="237"/>
      <c r="AP44" s="237"/>
      <c r="AQ44" s="237"/>
    </row>
    <row r="45" spans="1:43" s="236" customFormat="1" ht="14.25" customHeight="1" collapsed="1" x14ac:dyDescent="0.2">
      <c r="A45" s="683" t="s">
        <v>150</v>
      </c>
      <c r="B45" s="683"/>
      <c r="C45" s="683"/>
      <c r="D45" s="683"/>
      <c r="E45" s="683"/>
      <c r="F45" s="683"/>
      <c r="G45" s="683"/>
      <c r="H45" s="683"/>
      <c r="I45" s="683"/>
      <c r="J45" s="683"/>
      <c r="K45" s="683"/>
      <c r="L45" s="683"/>
      <c r="M45" s="683"/>
      <c r="N45" s="683"/>
      <c r="O45" s="683"/>
      <c r="P45" s="684"/>
      <c r="Q45" s="518">
        <f>SUM(Q26:S44)</f>
        <v>0</v>
      </c>
      <c r="R45" s="530"/>
      <c r="S45" s="531"/>
      <c r="AB45" s="237"/>
      <c r="AC45" s="237"/>
      <c r="AD45" s="237"/>
      <c r="AE45" s="237"/>
      <c r="AF45" s="237"/>
      <c r="AG45" s="237"/>
      <c r="AH45" s="237"/>
      <c r="AI45" s="237"/>
      <c r="AJ45" s="237"/>
      <c r="AK45" s="237"/>
      <c r="AL45" s="237"/>
      <c r="AM45" s="237"/>
      <c r="AN45" s="237"/>
      <c r="AO45" s="237"/>
      <c r="AP45" s="237"/>
      <c r="AQ45" s="237"/>
    </row>
    <row r="46" spans="1:43" s="236" customFormat="1" ht="14.25" customHeight="1" x14ac:dyDescent="0.2">
      <c r="A46" s="688" t="s">
        <v>151</v>
      </c>
      <c r="B46" s="689"/>
      <c r="C46" s="689"/>
      <c r="D46" s="690"/>
      <c r="E46" s="691" t="s">
        <v>297</v>
      </c>
      <c r="F46" s="691"/>
      <c r="G46" s="691"/>
      <c r="H46" s="691"/>
      <c r="I46" s="691"/>
      <c r="J46" s="691"/>
      <c r="K46" s="691"/>
      <c r="L46" s="691"/>
      <c r="M46" s="691"/>
      <c r="N46" s="691"/>
      <c r="O46" s="691"/>
      <c r="P46" s="691"/>
      <c r="Q46" s="691"/>
      <c r="R46" s="691"/>
      <c r="S46" s="692"/>
      <c r="U46" s="685" t="s">
        <v>298</v>
      </c>
      <c r="V46" s="685"/>
      <c r="W46" s="685"/>
      <c r="X46" s="685"/>
      <c r="Y46" s="685"/>
      <c r="Z46" s="685"/>
      <c r="AA46" s="685"/>
      <c r="AB46" s="237"/>
      <c r="AC46" s="237"/>
      <c r="AD46" s="237"/>
      <c r="AE46" s="237"/>
      <c r="AF46" s="237"/>
      <c r="AG46" s="237"/>
      <c r="AH46" s="237"/>
      <c r="AI46" s="237"/>
      <c r="AJ46" s="237"/>
      <c r="AK46" s="237"/>
      <c r="AL46" s="237"/>
      <c r="AM46" s="237"/>
      <c r="AN46" s="237"/>
      <c r="AO46" s="237"/>
      <c r="AP46" s="237"/>
      <c r="AQ46" s="237"/>
    </row>
    <row r="47" spans="1:43" s="258" customFormat="1" ht="51.75" customHeight="1" x14ac:dyDescent="0.2">
      <c r="A47" s="506" t="s">
        <v>57</v>
      </c>
      <c r="B47" s="507"/>
      <c r="C47" s="507"/>
      <c r="D47" s="507"/>
      <c r="E47" s="507"/>
      <c r="F47" s="507"/>
      <c r="G47" s="661" t="s">
        <v>152</v>
      </c>
      <c r="H47" s="686"/>
      <c r="I47" s="669" t="s">
        <v>382</v>
      </c>
      <c r="J47" s="669"/>
      <c r="K47" s="686"/>
      <c r="L47" s="251" t="s">
        <v>74</v>
      </c>
      <c r="M47" s="251" t="s">
        <v>75</v>
      </c>
      <c r="N47" s="251" t="s">
        <v>76</v>
      </c>
      <c r="O47" s="251" t="s">
        <v>77</v>
      </c>
      <c r="P47" s="251" t="s">
        <v>78</v>
      </c>
      <c r="Q47" s="687" t="s">
        <v>153</v>
      </c>
      <c r="R47" s="687"/>
      <c r="S47" s="687"/>
      <c r="U47" s="685"/>
      <c r="V47" s="685"/>
      <c r="W47" s="685"/>
      <c r="X47" s="685"/>
      <c r="Y47" s="685"/>
      <c r="Z47" s="685"/>
      <c r="AA47" s="685"/>
      <c r="AB47" s="259"/>
      <c r="AC47" s="259"/>
      <c r="AD47" s="259"/>
      <c r="AE47" s="259"/>
      <c r="AF47" s="259"/>
      <c r="AG47" s="259"/>
      <c r="AH47" s="259"/>
      <c r="AI47" s="259"/>
      <c r="AJ47" s="259"/>
      <c r="AK47" s="259"/>
      <c r="AL47" s="259"/>
      <c r="AM47" s="259"/>
      <c r="AN47" s="259"/>
      <c r="AO47" s="259"/>
      <c r="AP47" s="259"/>
      <c r="AQ47" s="259"/>
    </row>
    <row r="48" spans="1:43" s="236" customFormat="1" ht="14.25" customHeight="1" x14ac:dyDescent="0.2">
      <c r="A48" s="546" t="s">
        <v>299</v>
      </c>
      <c r="B48" s="547"/>
      <c r="C48" s="547"/>
      <c r="D48" s="547"/>
      <c r="E48" s="547"/>
      <c r="F48" s="548"/>
      <c r="G48" s="260" t="s">
        <v>300</v>
      </c>
      <c r="H48" s="261"/>
      <c r="I48" s="536"/>
      <c r="J48" s="536"/>
      <c r="K48" s="537"/>
      <c r="L48" s="262"/>
      <c r="M48" s="262"/>
      <c r="N48" s="262"/>
      <c r="O48" s="262"/>
      <c r="P48" s="263"/>
      <c r="Q48" s="538">
        <f t="shared" ref="Q48:Q73" si="2">SUM(L48:P48)</f>
        <v>0</v>
      </c>
      <c r="R48" s="538"/>
      <c r="S48" s="538"/>
      <c r="U48" s="685"/>
      <c r="V48" s="685"/>
      <c r="W48" s="685"/>
      <c r="X48" s="685"/>
      <c r="Y48" s="685"/>
      <c r="Z48" s="685"/>
      <c r="AA48" s="685"/>
      <c r="AB48" s="237"/>
      <c r="AC48" s="237"/>
      <c r="AD48" s="237"/>
      <c r="AE48" s="237"/>
      <c r="AF48" s="237"/>
      <c r="AG48" s="237"/>
      <c r="AH48" s="237"/>
      <c r="AI48" s="237"/>
      <c r="AJ48" s="237"/>
      <c r="AK48" s="237"/>
      <c r="AL48" s="237"/>
      <c r="AM48" s="237"/>
      <c r="AN48" s="237"/>
      <c r="AO48" s="237"/>
      <c r="AP48" s="237"/>
      <c r="AQ48" s="237"/>
    </row>
    <row r="49" spans="1:43" s="225" customFormat="1" ht="14.25" customHeight="1" x14ac:dyDescent="0.2">
      <c r="A49" s="549"/>
      <c r="B49" s="550"/>
      <c r="C49" s="550"/>
      <c r="D49" s="550"/>
      <c r="E49" s="550"/>
      <c r="F49" s="551"/>
      <c r="G49" s="260" t="s">
        <v>301</v>
      </c>
      <c r="H49" s="261"/>
      <c r="I49" s="544"/>
      <c r="J49" s="544"/>
      <c r="K49" s="545"/>
      <c r="L49" s="262"/>
      <c r="M49" s="262"/>
      <c r="N49" s="262"/>
      <c r="O49" s="262"/>
      <c r="P49" s="263"/>
      <c r="Q49" s="538">
        <f t="shared" si="2"/>
        <v>0</v>
      </c>
      <c r="R49" s="538"/>
      <c r="S49" s="538"/>
      <c r="U49" s="685"/>
      <c r="V49" s="685"/>
      <c r="W49" s="685"/>
      <c r="X49" s="685"/>
      <c r="Y49" s="685"/>
      <c r="Z49" s="685"/>
      <c r="AA49" s="685"/>
      <c r="AB49" s="226"/>
      <c r="AC49" s="226"/>
      <c r="AD49" s="226"/>
      <c r="AE49" s="226"/>
      <c r="AF49" s="226"/>
      <c r="AG49" s="226"/>
      <c r="AH49" s="226"/>
      <c r="AI49" s="226"/>
      <c r="AJ49" s="226"/>
      <c r="AK49" s="226"/>
      <c r="AL49" s="226"/>
      <c r="AM49" s="226"/>
      <c r="AN49" s="226"/>
      <c r="AO49" s="226"/>
      <c r="AP49" s="226"/>
      <c r="AQ49" s="226"/>
    </row>
    <row r="50" spans="1:43" s="236" customFormat="1" ht="14.25" customHeight="1" x14ac:dyDescent="0.2">
      <c r="A50" s="549"/>
      <c r="B50" s="550"/>
      <c r="C50" s="550"/>
      <c r="D50" s="550"/>
      <c r="E50" s="550"/>
      <c r="F50" s="551"/>
      <c r="G50" s="541" t="s">
        <v>302</v>
      </c>
      <c r="H50" s="542"/>
      <c r="I50" s="555"/>
      <c r="J50" s="555"/>
      <c r="K50" s="556"/>
      <c r="L50" s="262"/>
      <c r="M50" s="262"/>
      <c r="N50" s="262"/>
      <c r="O50" s="262"/>
      <c r="P50" s="263"/>
      <c r="Q50" s="538">
        <f t="shared" si="2"/>
        <v>0</v>
      </c>
      <c r="R50" s="538"/>
      <c r="S50" s="538"/>
      <c r="U50" s="685"/>
      <c r="V50" s="685"/>
      <c r="W50" s="685"/>
      <c r="X50" s="685"/>
      <c r="Y50" s="685"/>
      <c r="Z50" s="685"/>
      <c r="AA50" s="685"/>
      <c r="AB50" s="237"/>
      <c r="AC50" s="237"/>
      <c r="AD50" s="237"/>
      <c r="AE50" s="237"/>
      <c r="AF50" s="237"/>
      <c r="AG50" s="237"/>
      <c r="AH50" s="237"/>
      <c r="AI50" s="237"/>
      <c r="AJ50" s="237"/>
      <c r="AK50" s="237"/>
      <c r="AL50" s="237"/>
      <c r="AM50" s="237"/>
      <c r="AN50" s="237"/>
      <c r="AO50" s="237"/>
      <c r="AP50" s="237"/>
      <c r="AQ50" s="237"/>
    </row>
    <row r="51" spans="1:43" s="236" customFormat="1" ht="12" customHeight="1" x14ac:dyDescent="0.2">
      <c r="A51" s="552"/>
      <c r="B51" s="553"/>
      <c r="C51" s="553"/>
      <c r="D51" s="553"/>
      <c r="E51" s="553"/>
      <c r="F51" s="554"/>
      <c r="G51" s="541" t="s">
        <v>37</v>
      </c>
      <c r="H51" s="542"/>
      <c r="I51" s="557"/>
      <c r="J51" s="555"/>
      <c r="K51" s="556"/>
      <c r="L51" s="262"/>
      <c r="M51" s="262"/>
      <c r="N51" s="262"/>
      <c r="O51" s="262"/>
      <c r="P51" s="263"/>
      <c r="Q51" s="538">
        <f t="shared" si="2"/>
        <v>0</v>
      </c>
      <c r="R51" s="538"/>
      <c r="S51" s="538"/>
      <c r="U51" s="685"/>
      <c r="V51" s="685"/>
      <c r="W51" s="685"/>
      <c r="X51" s="685"/>
      <c r="Y51" s="685"/>
      <c r="Z51" s="685"/>
      <c r="AA51" s="685"/>
      <c r="AB51" s="237"/>
      <c r="AC51" s="237"/>
      <c r="AD51" s="237"/>
      <c r="AE51" s="237"/>
      <c r="AF51" s="237"/>
      <c r="AG51" s="237"/>
      <c r="AH51" s="237"/>
      <c r="AI51" s="237"/>
      <c r="AJ51" s="237"/>
      <c r="AK51" s="237"/>
      <c r="AL51" s="237"/>
      <c r="AM51" s="237"/>
      <c r="AN51" s="237"/>
      <c r="AO51" s="237"/>
      <c r="AP51" s="237"/>
      <c r="AQ51" s="237"/>
    </row>
    <row r="52" spans="1:43" s="236" customFormat="1" ht="14.25" hidden="1" customHeight="1" outlineLevel="1" x14ac:dyDescent="0.2">
      <c r="A52" s="546" t="s">
        <v>299</v>
      </c>
      <c r="B52" s="547"/>
      <c r="C52" s="547"/>
      <c r="D52" s="547"/>
      <c r="E52" s="547"/>
      <c r="F52" s="548"/>
      <c r="G52" s="260" t="s">
        <v>300</v>
      </c>
      <c r="H52" s="261"/>
      <c r="I52" s="536"/>
      <c r="J52" s="536"/>
      <c r="K52" s="537"/>
      <c r="L52" s="262"/>
      <c r="M52" s="262"/>
      <c r="N52" s="262"/>
      <c r="O52" s="262"/>
      <c r="P52" s="263"/>
      <c r="Q52" s="538">
        <f t="shared" si="2"/>
        <v>0</v>
      </c>
      <c r="R52" s="538"/>
      <c r="S52" s="538"/>
      <c r="AB52" s="237"/>
      <c r="AC52" s="237"/>
      <c r="AD52" s="237"/>
      <c r="AE52" s="237"/>
      <c r="AF52" s="237"/>
      <c r="AG52" s="237"/>
      <c r="AH52" s="237"/>
      <c r="AI52" s="237"/>
      <c r="AJ52" s="237"/>
      <c r="AK52" s="237"/>
      <c r="AL52" s="237"/>
      <c r="AM52" s="237"/>
      <c r="AN52" s="237"/>
      <c r="AO52" s="237"/>
      <c r="AP52" s="237"/>
      <c r="AQ52" s="237"/>
    </row>
    <row r="53" spans="1:43" s="225" customFormat="1" ht="14.25" hidden="1" customHeight="1" outlineLevel="1" x14ac:dyDescent="0.2">
      <c r="A53" s="549"/>
      <c r="B53" s="550"/>
      <c r="C53" s="550"/>
      <c r="D53" s="550"/>
      <c r="E53" s="550"/>
      <c r="F53" s="551"/>
      <c r="G53" s="260" t="s">
        <v>301</v>
      </c>
      <c r="H53" s="261"/>
      <c r="I53" s="544"/>
      <c r="J53" s="544"/>
      <c r="K53" s="545"/>
      <c r="L53" s="262"/>
      <c r="M53" s="262"/>
      <c r="N53" s="262"/>
      <c r="O53" s="262"/>
      <c r="P53" s="263"/>
      <c r="Q53" s="538">
        <f t="shared" si="2"/>
        <v>0</v>
      </c>
      <c r="R53" s="538"/>
      <c r="S53" s="538"/>
      <c r="U53" s="236"/>
      <c r="V53" s="236"/>
      <c r="W53" s="236"/>
      <c r="X53" s="236"/>
      <c r="Y53" s="236"/>
      <c r="Z53" s="236"/>
      <c r="AA53" s="236"/>
      <c r="AB53" s="226"/>
      <c r="AC53" s="226"/>
      <c r="AD53" s="226"/>
      <c r="AE53" s="226"/>
      <c r="AF53" s="226"/>
      <c r="AG53" s="226"/>
      <c r="AH53" s="226"/>
      <c r="AI53" s="226"/>
      <c r="AJ53" s="226"/>
      <c r="AK53" s="226"/>
      <c r="AL53" s="226"/>
      <c r="AM53" s="226"/>
      <c r="AN53" s="226"/>
      <c r="AO53" s="226"/>
      <c r="AP53" s="226"/>
      <c r="AQ53" s="226"/>
    </row>
    <row r="54" spans="1:43" s="236" customFormat="1" ht="14.25" hidden="1" customHeight="1" outlineLevel="1" x14ac:dyDescent="0.2">
      <c r="A54" s="549"/>
      <c r="B54" s="550"/>
      <c r="C54" s="550"/>
      <c r="D54" s="550"/>
      <c r="E54" s="550"/>
      <c r="F54" s="551"/>
      <c r="G54" s="541" t="s">
        <v>302</v>
      </c>
      <c r="H54" s="542"/>
      <c r="I54" s="555"/>
      <c r="J54" s="555"/>
      <c r="K54" s="556"/>
      <c r="L54" s="262"/>
      <c r="M54" s="262"/>
      <c r="N54" s="262"/>
      <c r="O54" s="262"/>
      <c r="P54" s="263"/>
      <c r="Q54" s="538">
        <f t="shared" si="2"/>
        <v>0</v>
      </c>
      <c r="R54" s="538"/>
      <c r="S54" s="538"/>
      <c r="AB54" s="237"/>
      <c r="AC54" s="237"/>
      <c r="AD54" s="237"/>
      <c r="AE54" s="237"/>
      <c r="AF54" s="237"/>
      <c r="AG54" s="237"/>
      <c r="AH54" s="237"/>
      <c r="AI54" s="237"/>
      <c r="AJ54" s="237"/>
      <c r="AK54" s="237"/>
      <c r="AL54" s="237"/>
      <c r="AM54" s="237"/>
      <c r="AN54" s="237"/>
      <c r="AO54" s="237"/>
      <c r="AP54" s="237"/>
      <c r="AQ54" s="237"/>
    </row>
    <row r="55" spans="1:43" s="236" customFormat="1" ht="12" hidden="1" customHeight="1" outlineLevel="1" x14ac:dyDescent="0.2">
      <c r="A55" s="552"/>
      <c r="B55" s="553"/>
      <c r="C55" s="553"/>
      <c r="D55" s="553"/>
      <c r="E55" s="553"/>
      <c r="F55" s="554"/>
      <c r="G55" s="541" t="s">
        <v>37</v>
      </c>
      <c r="H55" s="542"/>
      <c r="I55" s="557"/>
      <c r="J55" s="555"/>
      <c r="K55" s="556"/>
      <c r="L55" s="262"/>
      <c r="M55" s="262"/>
      <c r="N55" s="262"/>
      <c r="O55" s="262"/>
      <c r="P55" s="263"/>
      <c r="Q55" s="538">
        <f t="shared" si="2"/>
        <v>0</v>
      </c>
      <c r="R55" s="538"/>
      <c r="S55" s="538"/>
      <c r="AB55" s="237"/>
      <c r="AC55" s="237"/>
      <c r="AD55" s="237"/>
      <c r="AE55" s="237"/>
      <c r="AF55" s="237"/>
      <c r="AG55" s="237"/>
      <c r="AH55" s="237"/>
      <c r="AI55" s="237"/>
      <c r="AJ55" s="237"/>
      <c r="AK55" s="237"/>
      <c r="AL55" s="237"/>
      <c r="AM55" s="237"/>
      <c r="AN55" s="237"/>
      <c r="AO55" s="237"/>
      <c r="AP55" s="237"/>
      <c r="AQ55" s="237"/>
    </row>
    <row r="56" spans="1:43" s="236" customFormat="1" ht="14.25" hidden="1" customHeight="1" outlineLevel="1" x14ac:dyDescent="0.2">
      <c r="A56" s="693" t="s">
        <v>299</v>
      </c>
      <c r="B56" s="694"/>
      <c r="C56" s="694"/>
      <c r="D56" s="694"/>
      <c r="E56" s="694"/>
      <c r="F56" s="695"/>
      <c r="G56" s="260" t="s">
        <v>300</v>
      </c>
      <c r="H56" s="261"/>
      <c r="I56" s="536"/>
      <c r="J56" s="536"/>
      <c r="K56" s="537"/>
      <c r="L56" s="262"/>
      <c r="M56" s="262"/>
      <c r="N56" s="262"/>
      <c r="O56" s="262"/>
      <c r="P56" s="263"/>
      <c r="Q56" s="538">
        <f t="shared" si="2"/>
        <v>0</v>
      </c>
      <c r="R56" s="538"/>
      <c r="S56" s="538"/>
      <c r="AB56" s="237"/>
      <c r="AC56" s="237"/>
      <c r="AD56" s="237"/>
      <c r="AE56" s="237"/>
      <c r="AF56" s="237"/>
      <c r="AG56" s="237"/>
      <c r="AH56" s="237"/>
      <c r="AI56" s="237"/>
      <c r="AJ56" s="237"/>
      <c r="AK56" s="237"/>
      <c r="AL56" s="237"/>
      <c r="AM56" s="237"/>
      <c r="AN56" s="237"/>
      <c r="AO56" s="237"/>
      <c r="AP56" s="237"/>
      <c r="AQ56" s="237"/>
    </row>
    <row r="57" spans="1:43" s="225" customFormat="1" ht="14.25" hidden="1" customHeight="1" outlineLevel="1" x14ac:dyDescent="0.2">
      <c r="A57" s="696"/>
      <c r="B57" s="628"/>
      <c r="C57" s="628"/>
      <c r="D57" s="628"/>
      <c r="E57" s="628"/>
      <c r="F57" s="697"/>
      <c r="G57" s="260" t="s">
        <v>301</v>
      </c>
      <c r="H57" s="261"/>
      <c r="I57" s="544"/>
      <c r="J57" s="544"/>
      <c r="K57" s="545"/>
      <c r="L57" s="262"/>
      <c r="M57" s="262"/>
      <c r="N57" s="262"/>
      <c r="O57" s="262"/>
      <c r="P57" s="263"/>
      <c r="Q57" s="538">
        <f t="shared" si="2"/>
        <v>0</v>
      </c>
      <c r="R57" s="538"/>
      <c r="S57" s="538"/>
      <c r="U57" s="236"/>
      <c r="V57" s="236"/>
      <c r="W57" s="236"/>
      <c r="X57" s="236"/>
      <c r="Y57" s="236"/>
      <c r="Z57" s="236"/>
      <c r="AA57" s="236"/>
      <c r="AB57" s="226"/>
      <c r="AC57" s="226"/>
      <c r="AD57" s="226"/>
      <c r="AE57" s="226"/>
      <c r="AF57" s="226"/>
      <c r="AG57" s="226"/>
      <c r="AH57" s="226"/>
      <c r="AI57" s="226"/>
      <c r="AJ57" s="226"/>
      <c r="AK57" s="226"/>
      <c r="AL57" s="226"/>
      <c r="AM57" s="226"/>
      <c r="AN57" s="226"/>
      <c r="AO57" s="226"/>
      <c r="AP57" s="226"/>
      <c r="AQ57" s="226"/>
    </row>
    <row r="58" spans="1:43" s="236" customFormat="1" ht="14.25" hidden="1" customHeight="1" outlineLevel="1" x14ac:dyDescent="0.2">
      <c r="A58" s="696"/>
      <c r="B58" s="628"/>
      <c r="C58" s="628"/>
      <c r="D58" s="628"/>
      <c r="E58" s="628"/>
      <c r="F58" s="697"/>
      <c r="G58" s="541" t="s">
        <v>302</v>
      </c>
      <c r="H58" s="542"/>
      <c r="I58" s="555"/>
      <c r="J58" s="555"/>
      <c r="K58" s="556"/>
      <c r="L58" s="262"/>
      <c r="M58" s="262"/>
      <c r="N58" s="262"/>
      <c r="O58" s="262"/>
      <c r="P58" s="263"/>
      <c r="Q58" s="538">
        <f t="shared" si="2"/>
        <v>0</v>
      </c>
      <c r="R58" s="538"/>
      <c r="S58" s="538"/>
      <c r="AB58" s="237"/>
      <c r="AC58" s="237"/>
      <c r="AD58" s="237"/>
      <c r="AE58" s="237"/>
      <c r="AF58" s="237"/>
      <c r="AG58" s="237"/>
      <c r="AH58" s="237"/>
      <c r="AI58" s="237"/>
      <c r="AJ58" s="237"/>
      <c r="AK58" s="237"/>
      <c r="AL58" s="237"/>
      <c r="AM58" s="237"/>
      <c r="AN58" s="237"/>
      <c r="AO58" s="237"/>
      <c r="AP58" s="237"/>
      <c r="AQ58" s="237"/>
    </row>
    <row r="59" spans="1:43" s="236" customFormat="1" ht="12" hidden="1" customHeight="1" outlineLevel="1" x14ac:dyDescent="0.2">
      <c r="A59" s="698"/>
      <c r="B59" s="699"/>
      <c r="C59" s="699"/>
      <c r="D59" s="699"/>
      <c r="E59" s="699"/>
      <c r="F59" s="700"/>
      <c r="G59" s="541" t="s">
        <v>37</v>
      </c>
      <c r="H59" s="542"/>
      <c r="I59" s="557"/>
      <c r="J59" s="555"/>
      <c r="K59" s="556"/>
      <c r="L59" s="262"/>
      <c r="M59" s="262"/>
      <c r="N59" s="262"/>
      <c r="O59" s="262"/>
      <c r="P59" s="263"/>
      <c r="Q59" s="538">
        <f t="shared" si="2"/>
        <v>0</v>
      </c>
      <c r="R59" s="538"/>
      <c r="S59" s="538"/>
      <c r="AB59" s="237"/>
      <c r="AC59" s="237"/>
      <c r="AD59" s="237"/>
      <c r="AE59" s="237"/>
      <c r="AF59" s="237"/>
      <c r="AG59" s="237"/>
      <c r="AH59" s="237"/>
      <c r="AI59" s="237"/>
      <c r="AJ59" s="237"/>
      <c r="AK59" s="237"/>
      <c r="AL59" s="237"/>
      <c r="AM59" s="237"/>
      <c r="AN59" s="237"/>
      <c r="AO59" s="237"/>
      <c r="AP59" s="237"/>
      <c r="AQ59" s="237"/>
    </row>
    <row r="60" spans="1:43" s="236" customFormat="1" ht="14.25" customHeight="1" collapsed="1" x14ac:dyDescent="0.2">
      <c r="A60" s="546" t="s">
        <v>156</v>
      </c>
      <c r="B60" s="547"/>
      <c r="C60" s="547"/>
      <c r="D60" s="547"/>
      <c r="E60" s="547"/>
      <c r="F60" s="548"/>
      <c r="G60" s="260" t="s">
        <v>300</v>
      </c>
      <c r="H60" s="261"/>
      <c r="I60" s="536"/>
      <c r="J60" s="536"/>
      <c r="K60" s="537"/>
      <c r="L60" s="262"/>
      <c r="M60" s="262"/>
      <c r="N60" s="262"/>
      <c r="O60" s="262"/>
      <c r="P60" s="263"/>
      <c r="Q60" s="538">
        <f t="shared" si="2"/>
        <v>0</v>
      </c>
      <c r="R60" s="538"/>
      <c r="S60" s="538"/>
      <c r="AB60" s="237"/>
      <c r="AC60" s="237"/>
      <c r="AD60" s="237"/>
      <c r="AE60" s="237"/>
      <c r="AF60" s="237"/>
      <c r="AG60" s="237"/>
      <c r="AH60" s="237"/>
      <c r="AI60" s="237"/>
      <c r="AJ60" s="237"/>
      <c r="AK60" s="237"/>
      <c r="AL60" s="237"/>
      <c r="AM60" s="237"/>
      <c r="AN60" s="237"/>
      <c r="AO60" s="237"/>
      <c r="AP60" s="237"/>
      <c r="AQ60" s="237"/>
    </row>
    <row r="61" spans="1:43" s="236" customFormat="1" ht="14.25" customHeight="1" x14ac:dyDescent="0.2">
      <c r="A61" s="549"/>
      <c r="B61" s="550"/>
      <c r="C61" s="550"/>
      <c r="D61" s="550"/>
      <c r="E61" s="550"/>
      <c r="F61" s="551"/>
      <c r="G61" s="260" t="s">
        <v>301</v>
      </c>
      <c r="H61" s="261"/>
      <c r="I61" s="544"/>
      <c r="J61" s="544"/>
      <c r="K61" s="545"/>
      <c r="L61" s="262"/>
      <c r="M61" s="262"/>
      <c r="N61" s="262"/>
      <c r="O61" s="262"/>
      <c r="P61" s="263"/>
      <c r="Q61" s="538">
        <f t="shared" si="2"/>
        <v>0</v>
      </c>
      <c r="R61" s="538"/>
      <c r="S61" s="538"/>
      <c r="AB61" s="237"/>
      <c r="AC61" s="237"/>
      <c r="AD61" s="237"/>
      <c r="AE61" s="237"/>
      <c r="AF61" s="237"/>
      <c r="AG61" s="237"/>
      <c r="AH61" s="237"/>
      <c r="AI61" s="237"/>
      <c r="AJ61" s="237"/>
      <c r="AK61" s="237"/>
      <c r="AL61" s="237"/>
      <c r="AM61" s="237"/>
      <c r="AN61" s="237"/>
      <c r="AO61" s="237"/>
      <c r="AP61" s="237"/>
      <c r="AQ61" s="237"/>
    </row>
    <row r="62" spans="1:43" s="236" customFormat="1" ht="14.25" customHeight="1" x14ac:dyDescent="0.2">
      <c r="A62" s="549"/>
      <c r="B62" s="550"/>
      <c r="C62" s="550"/>
      <c r="D62" s="550"/>
      <c r="E62" s="550"/>
      <c r="F62" s="551"/>
      <c r="G62" s="541" t="s">
        <v>302</v>
      </c>
      <c r="H62" s="542"/>
      <c r="I62" s="555"/>
      <c r="J62" s="555"/>
      <c r="K62" s="556"/>
      <c r="L62" s="262"/>
      <c r="M62" s="262"/>
      <c r="N62" s="262"/>
      <c r="O62" s="262"/>
      <c r="P62" s="263"/>
      <c r="Q62" s="538">
        <f t="shared" si="2"/>
        <v>0</v>
      </c>
      <c r="R62" s="538"/>
      <c r="S62" s="538"/>
      <c r="AB62" s="237"/>
      <c r="AC62" s="237"/>
      <c r="AD62" s="237"/>
      <c r="AE62" s="237"/>
      <c r="AF62" s="237"/>
      <c r="AG62" s="237"/>
      <c r="AH62" s="237"/>
      <c r="AI62" s="237"/>
      <c r="AJ62" s="237"/>
      <c r="AK62" s="237"/>
      <c r="AL62" s="237"/>
      <c r="AM62" s="237"/>
      <c r="AN62" s="237"/>
      <c r="AO62" s="237"/>
      <c r="AP62" s="237"/>
      <c r="AQ62" s="237"/>
    </row>
    <row r="63" spans="1:43" s="236" customFormat="1" ht="14.25" customHeight="1" x14ac:dyDescent="0.2">
      <c r="A63" s="552"/>
      <c r="B63" s="553"/>
      <c r="C63" s="553"/>
      <c r="D63" s="553"/>
      <c r="E63" s="553"/>
      <c r="F63" s="554"/>
      <c r="G63" s="541" t="s">
        <v>37</v>
      </c>
      <c r="H63" s="542"/>
      <c r="I63" s="557"/>
      <c r="J63" s="555"/>
      <c r="K63" s="556"/>
      <c r="L63" s="262"/>
      <c r="M63" s="262"/>
      <c r="N63" s="262"/>
      <c r="O63" s="262"/>
      <c r="P63" s="263"/>
      <c r="Q63" s="538">
        <f t="shared" si="2"/>
        <v>0</v>
      </c>
      <c r="R63" s="538"/>
      <c r="S63" s="538"/>
      <c r="AB63" s="237"/>
      <c r="AC63" s="237"/>
      <c r="AD63" s="237"/>
      <c r="AE63" s="237"/>
      <c r="AF63" s="237"/>
      <c r="AG63" s="237"/>
      <c r="AH63" s="237"/>
      <c r="AI63" s="237"/>
      <c r="AJ63" s="237"/>
      <c r="AK63" s="237"/>
      <c r="AL63" s="237"/>
      <c r="AM63" s="237"/>
      <c r="AN63" s="237"/>
      <c r="AO63" s="237"/>
      <c r="AP63" s="237"/>
      <c r="AQ63" s="237"/>
    </row>
    <row r="64" spans="1:43" s="236" customFormat="1" ht="14.25" customHeight="1" x14ac:dyDescent="0.2">
      <c r="A64" s="546" t="s">
        <v>303</v>
      </c>
      <c r="B64" s="547"/>
      <c r="C64" s="547"/>
      <c r="D64" s="547"/>
      <c r="E64" s="547"/>
      <c r="F64" s="548"/>
      <c r="G64" s="260" t="s">
        <v>300</v>
      </c>
      <c r="H64" s="261"/>
      <c r="I64" s="536" t="s">
        <v>155</v>
      </c>
      <c r="J64" s="536"/>
      <c r="K64" s="537"/>
      <c r="L64" s="262"/>
      <c r="M64" s="262"/>
      <c r="N64" s="262"/>
      <c r="O64" s="262"/>
      <c r="P64" s="263"/>
      <c r="Q64" s="538">
        <f t="shared" si="2"/>
        <v>0</v>
      </c>
      <c r="R64" s="538"/>
      <c r="S64" s="538"/>
      <c r="U64" s="230"/>
      <c r="V64" s="230"/>
      <c r="W64" s="230"/>
      <c r="X64" s="230"/>
      <c r="Y64" s="230"/>
      <c r="Z64" s="230"/>
      <c r="AA64" s="230"/>
      <c r="AB64" s="237"/>
      <c r="AC64" s="237"/>
      <c r="AD64" s="237"/>
      <c r="AE64" s="237"/>
      <c r="AF64" s="237"/>
      <c r="AG64" s="237"/>
      <c r="AH64" s="237"/>
      <c r="AI64" s="237"/>
      <c r="AJ64" s="237"/>
      <c r="AK64" s="237"/>
      <c r="AL64" s="237"/>
      <c r="AM64" s="237"/>
      <c r="AN64" s="237"/>
      <c r="AO64" s="237"/>
      <c r="AP64" s="237"/>
      <c r="AQ64" s="237"/>
    </row>
    <row r="65" spans="1:43" s="236" customFormat="1" ht="14.25" customHeight="1" x14ac:dyDescent="0.2">
      <c r="A65" s="549"/>
      <c r="B65" s="550"/>
      <c r="C65" s="550"/>
      <c r="D65" s="550"/>
      <c r="E65" s="550"/>
      <c r="F65" s="551"/>
      <c r="G65" s="260" t="s">
        <v>301</v>
      </c>
      <c r="H65" s="261"/>
      <c r="I65" s="536" t="s">
        <v>155</v>
      </c>
      <c r="J65" s="536"/>
      <c r="K65" s="537"/>
      <c r="L65" s="262"/>
      <c r="M65" s="262"/>
      <c r="N65" s="262"/>
      <c r="O65" s="262"/>
      <c r="P65" s="263"/>
      <c r="Q65" s="538">
        <f t="shared" si="2"/>
        <v>0</v>
      </c>
      <c r="R65" s="538"/>
      <c r="S65" s="538"/>
      <c r="U65" s="230"/>
      <c r="V65" s="230"/>
      <c r="W65" s="230"/>
      <c r="X65" s="230"/>
      <c r="Y65" s="230"/>
      <c r="Z65" s="230"/>
      <c r="AA65" s="230"/>
      <c r="AB65" s="237"/>
      <c r="AC65" s="237"/>
      <c r="AD65" s="237"/>
      <c r="AE65" s="237"/>
      <c r="AF65" s="237"/>
      <c r="AG65" s="237"/>
      <c r="AH65" s="237"/>
      <c r="AI65" s="237"/>
      <c r="AJ65" s="237"/>
      <c r="AK65" s="237"/>
      <c r="AL65" s="237"/>
      <c r="AM65" s="237"/>
      <c r="AN65" s="237"/>
      <c r="AO65" s="237"/>
      <c r="AP65" s="237"/>
      <c r="AQ65" s="237"/>
    </row>
    <row r="66" spans="1:43" s="236" customFormat="1" ht="14.25" customHeight="1" x14ac:dyDescent="0.2">
      <c r="A66" s="549"/>
      <c r="B66" s="550"/>
      <c r="C66" s="550"/>
      <c r="D66" s="550"/>
      <c r="E66" s="550"/>
      <c r="F66" s="551"/>
      <c r="G66" s="541" t="s">
        <v>302</v>
      </c>
      <c r="H66" s="542"/>
      <c r="I66" s="536" t="s">
        <v>155</v>
      </c>
      <c r="J66" s="536"/>
      <c r="K66" s="537"/>
      <c r="L66" s="262"/>
      <c r="M66" s="262"/>
      <c r="N66" s="262"/>
      <c r="O66" s="262"/>
      <c r="P66" s="263"/>
      <c r="Q66" s="538">
        <f t="shared" si="2"/>
        <v>0</v>
      </c>
      <c r="R66" s="538"/>
      <c r="S66" s="538"/>
      <c r="U66" s="230"/>
      <c r="V66" s="230"/>
      <c r="W66" s="230"/>
      <c r="X66" s="230"/>
      <c r="Y66" s="230"/>
      <c r="Z66" s="230"/>
      <c r="AA66" s="230"/>
      <c r="AB66" s="237"/>
      <c r="AC66" s="237"/>
      <c r="AD66" s="237"/>
      <c r="AE66" s="237"/>
      <c r="AF66" s="237"/>
      <c r="AG66" s="237"/>
      <c r="AH66" s="237"/>
      <c r="AI66" s="237"/>
      <c r="AJ66" s="237"/>
      <c r="AK66" s="237"/>
      <c r="AL66" s="237"/>
      <c r="AM66" s="237"/>
      <c r="AN66" s="237"/>
      <c r="AO66" s="237"/>
      <c r="AP66" s="237"/>
      <c r="AQ66" s="237"/>
    </row>
    <row r="67" spans="1:43" s="236" customFormat="1" ht="14.25" customHeight="1" x14ac:dyDescent="0.2">
      <c r="A67" s="549"/>
      <c r="B67" s="550"/>
      <c r="C67" s="550"/>
      <c r="D67" s="550"/>
      <c r="E67" s="550"/>
      <c r="F67" s="551"/>
      <c r="G67" s="541" t="s">
        <v>37</v>
      </c>
      <c r="H67" s="542"/>
      <c r="I67" s="536" t="s">
        <v>155</v>
      </c>
      <c r="J67" s="536"/>
      <c r="K67" s="537"/>
      <c r="L67" s="262"/>
      <c r="M67" s="262"/>
      <c r="N67" s="262"/>
      <c r="O67" s="262"/>
      <c r="P67" s="263"/>
      <c r="Q67" s="538">
        <f t="shared" si="2"/>
        <v>0</v>
      </c>
      <c r="R67" s="538"/>
      <c r="S67" s="538"/>
      <c r="U67" s="230"/>
      <c r="V67" s="230"/>
      <c r="W67" s="230"/>
      <c r="X67" s="230"/>
      <c r="Y67" s="230"/>
      <c r="Z67" s="230"/>
      <c r="AA67" s="230"/>
      <c r="AB67" s="237"/>
      <c r="AC67" s="237"/>
      <c r="AD67" s="237"/>
      <c r="AE67" s="237"/>
      <c r="AF67" s="237"/>
      <c r="AG67" s="237"/>
      <c r="AH67" s="237"/>
      <c r="AI67" s="237"/>
      <c r="AJ67" s="237"/>
      <c r="AK67" s="237"/>
      <c r="AL67" s="237"/>
      <c r="AM67" s="237"/>
      <c r="AN67" s="237"/>
      <c r="AO67" s="237"/>
      <c r="AP67" s="237"/>
      <c r="AQ67" s="237"/>
    </row>
    <row r="68" spans="1:43" s="236" customFormat="1" ht="14.25" customHeight="1" x14ac:dyDescent="0.2">
      <c r="A68" s="499" t="s">
        <v>154</v>
      </c>
      <c r="B68" s="501"/>
      <c r="C68" s="501"/>
      <c r="D68" s="501"/>
      <c r="E68" s="501"/>
      <c r="F68" s="501"/>
      <c r="G68" s="541"/>
      <c r="H68" s="542"/>
      <c r="I68" s="543"/>
      <c r="J68" s="544"/>
      <c r="K68" s="545"/>
      <c r="L68" s="262"/>
      <c r="M68" s="262"/>
      <c r="N68" s="262"/>
      <c r="O68" s="262"/>
      <c r="P68" s="263"/>
      <c r="Q68" s="496">
        <f t="shared" si="2"/>
        <v>0</v>
      </c>
      <c r="R68" s="497"/>
      <c r="S68" s="498"/>
      <c r="AB68" s="237"/>
      <c r="AC68" s="237"/>
      <c r="AD68" s="237"/>
      <c r="AE68" s="237"/>
      <c r="AF68" s="237"/>
      <c r="AG68" s="237"/>
      <c r="AH68" s="237"/>
      <c r="AI68" s="237"/>
      <c r="AJ68" s="237"/>
      <c r="AK68" s="237"/>
      <c r="AL68" s="237"/>
      <c r="AM68" s="237"/>
      <c r="AN68" s="237"/>
      <c r="AO68" s="237"/>
      <c r="AP68" s="237"/>
      <c r="AQ68" s="237"/>
    </row>
    <row r="69" spans="1:43" s="236" customFormat="1" ht="14.25" customHeight="1" x14ac:dyDescent="0.2">
      <c r="A69" s="532" t="str">
        <f>A22</f>
        <v>Other 1 (specify)</v>
      </c>
      <c r="B69" s="533"/>
      <c r="C69" s="533"/>
      <c r="D69" s="533"/>
      <c r="E69" s="533"/>
      <c r="F69" s="533"/>
      <c r="G69" s="534"/>
      <c r="H69" s="535"/>
      <c r="I69" s="536"/>
      <c r="J69" s="536"/>
      <c r="K69" s="537"/>
      <c r="L69" s="262"/>
      <c r="M69" s="262"/>
      <c r="N69" s="262"/>
      <c r="O69" s="262"/>
      <c r="P69" s="263"/>
      <c r="Q69" s="538">
        <f t="shared" si="2"/>
        <v>0</v>
      </c>
      <c r="R69" s="538"/>
      <c r="S69" s="538"/>
      <c r="U69" s="230"/>
      <c r="V69" s="230"/>
      <c r="W69" s="230"/>
      <c r="X69" s="230"/>
      <c r="Y69" s="230"/>
      <c r="Z69" s="230"/>
      <c r="AA69" s="230"/>
      <c r="AB69" s="237"/>
      <c r="AC69" s="237"/>
      <c r="AD69" s="237"/>
      <c r="AE69" s="237"/>
      <c r="AF69" s="237"/>
      <c r="AG69" s="237"/>
      <c r="AH69" s="237"/>
      <c r="AI69" s="237"/>
      <c r="AJ69" s="237"/>
      <c r="AK69" s="237"/>
      <c r="AL69" s="237"/>
      <c r="AM69" s="237"/>
      <c r="AN69" s="237"/>
      <c r="AO69" s="237"/>
      <c r="AP69" s="237"/>
      <c r="AQ69" s="237"/>
    </row>
    <row r="70" spans="1:43" s="236" customFormat="1" ht="14.25" customHeight="1" x14ac:dyDescent="0.2">
      <c r="A70" s="532" t="str">
        <f>L16</f>
        <v>Other 2 (specify)</v>
      </c>
      <c r="B70" s="533"/>
      <c r="C70" s="533"/>
      <c r="D70" s="533"/>
      <c r="E70" s="533"/>
      <c r="F70" s="533"/>
      <c r="G70" s="534"/>
      <c r="H70" s="535"/>
      <c r="I70" s="536"/>
      <c r="J70" s="536"/>
      <c r="K70" s="537"/>
      <c r="L70" s="262"/>
      <c r="M70" s="262"/>
      <c r="N70" s="262"/>
      <c r="O70" s="262"/>
      <c r="P70" s="263"/>
      <c r="Q70" s="538">
        <f t="shared" si="2"/>
        <v>0</v>
      </c>
      <c r="R70" s="538"/>
      <c r="S70" s="538"/>
      <c r="U70" s="230"/>
      <c r="V70" s="230"/>
      <c r="W70" s="230"/>
      <c r="X70" s="230"/>
      <c r="Y70" s="230"/>
      <c r="Z70" s="230"/>
      <c r="AA70" s="230"/>
      <c r="AB70" s="237"/>
      <c r="AC70" s="237"/>
      <c r="AD70" s="237"/>
      <c r="AE70" s="237"/>
      <c r="AF70" s="237"/>
      <c r="AG70" s="237"/>
      <c r="AH70" s="237"/>
      <c r="AI70" s="237"/>
      <c r="AJ70" s="237"/>
      <c r="AK70" s="237"/>
      <c r="AL70" s="237"/>
      <c r="AM70" s="237"/>
      <c r="AN70" s="237"/>
      <c r="AO70" s="237"/>
      <c r="AP70" s="237"/>
      <c r="AQ70" s="237"/>
    </row>
    <row r="71" spans="1:43" s="236" customFormat="1" ht="14.25" customHeight="1" x14ac:dyDescent="0.2">
      <c r="A71" s="532" t="str">
        <f>L18</f>
        <v>Other 3 (specify)</v>
      </c>
      <c r="B71" s="533"/>
      <c r="C71" s="533"/>
      <c r="D71" s="533"/>
      <c r="E71" s="533"/>
      <c r="F71" s="533"/>
      <c r="G71" s="534"/>
      <c r="H71" s="535"/>
      <c r="I71" s="536"/>
      <c r="J71" s="536"/>
      <c r="K71" s="537"/>
      <c r="L71" s="262"/>
      <c r="M71" s="262"/>
      <c r="N71" s="262"/>
      <c r="O71" s="262"/>
      <c r="P71" s="263"/>
      <c r="Q71" s="538">
        <f t="shared" si="2"/>
        <v>0</v>
      </c>
      <c r="R71" s="538"/>
      <c r="S71" s="538"/>
      <c r="U71" s="230"/>
      <c r="V71" s="230"/>
      <c r="W71" s="230"/>
      <c r="X71" s="230"/>
      <c r="Y71" s="230"/>
      <c r="Z71" s="230"/>
      <c r="AA71" s="230"/>
      <c r="AB71" s="237"/>
      <c r="AC71" s="237"/>
      <c r="AD71" s="237"/>
      <c r="AE71" s="237"/>
      <c r="AF71" s="237"/>
      <c r="AG71" s="237"/>
      <c r="AH71" s="237"/>
      <c r="AI71" s="237"/>
      <c r="AJ71" s="237"/>
      <c r="AK71" s="237"/>
      <c r="AL71" s="237"/>
      <c r="AM71" s="237"/>
      <c r="AN71" s="237"/>
      <c r="AO71" s="237"/>
      <c r="AP71" s="237"/>
      <c r="AQ71" s="237"/>
    </row>
    <row r="72" spans="1:43" s="236" customFormat="1" ht="14.25" customHeight="1" x14ac:dyDescent="0.2">
      <c r="A72" s="532" t="str">
        <f>L20</f>
        <v>Other 4 (specify)</v>
      </c>
      <c r="B72" s="533"/>
      <c r="C72" s="533"/>
      <c r="D72" s="533"/>
      <c r="E72" s="533"/>
      <c r="F72" s="533"/>
      <c r="G72" s="534"/>
      <c r="H72" s="535"/>
      <c r="I72" s="536"/>
      <c r="J72" s="536"/>
      <c r="K72" s="537"/>
      <c r="L72" s="262"/>
      <c r="M72" s="262"/>
      <c r="N72" s="262"/>
      <c r="O72" s="262"/>
      <c r="P72" s="263"/>
      <c r="Q72" s="538">
        <f t="shared" si="2"/>
        <v>0</v>
      </c>
      <c r="R72" s="538"/>
      <c r="S72" s="538"/>
      <c r="U72" s="230"/>
      <c r="V72" s="230"/>
      <c r="W72" s="230"/>
      <c r="X72" s="230"/>
      <c r="Y72" s="230"/>
      <c r="Z72" s="230"/>
      <c r="AA72" s="230"/>
      <c r="AB72" s="237"/>
      <c r="AC72" s="237"/>
      <c r="AD72" s="237"/>
      <c r="AE72" s="237"/>
      <c r="AF72" s="237"/>
      <c r="AG72" s="237"/>
      <c r="AH72" s="237"/>
      <c r="AI72" s="237"/>
      <c r="AJ72" s="237"/>
      <c r="AK72" s="237"/>
      <c r="AL72" s="237"/>
      <c r="AM72" s="237"/>
      <c r="AN72" s="237"/>
      <c r="AO72" s="237"/>
      <c r="AP72" s="237"/>
      <c r="AQ72" s="237"/>
    </row>
    <row r="73" spans="1:43" s="236" customFormat="1" ht="14.25" customHeight="1" x14ac:dyDescent="0.2">
      <c r="A73" s="532" t="str">
        <f>L22</f>
        <v>Other 5 (specify)</v>
      </c>
      <c r="B73" s="533"/>
      <c r="C73" s="533"/>
      <c r="D73" s="533"/>
      <c r="E73" s="533"/>
      <c r="F73" s="533"/>
      <c r="G73" s="534"/>
      <c r="H73" s="535"/>
      <c r="I73" s="536"/>
      <c r="J73" s="536"/>
      <c r="K73" s="537"/>
      <c r="L73" s="262"/>
      <c r="M73" s="262"/>
      <c r="N73" s="262"/>
      <c r="O73" s="262"/>
      <c r="P73" s="263"/>
      <c r="Q73" s="538">
        <f t="shared" si="2"/>
        <v>0</v>
      </c>
      <c r="R73" s="538"/>
      <c r="S73" s="538"/>
      <c r="U73" s="230"/>
      <c r="V73" s="230"/>
      <c r="W73" s="230"/>
      <c r="X73" s="230"/>
      <c r="Y73" s="230"/>
      <c r="Z73" s="230"/>
      <c r="AA73" s="230"/>
      <c r="AB73" s="237"/>
      <c r="AC73" s="237"/>
      <c r="AD73" s="237"/>
      <c r="AE73" s="237"/>
      <c r="AF73" s="237"/>
      <c r="AG73" s="237"/>
      <c r="AH73" s="237"/>
      <c r="AI73" s="237"/>
      <c r="AJ73" s="237"/>
      <c r="AK73" s="237"/>
      <c r="AL73" s="237"/>
      <c r="AM73" s="237"/>
      <c r="AN73" s="237"/>
      <c r="AO73" s="237"/>
      <c r="AP73" s="237"/>
      <c r="AQ73" s="237"/>
    </row>
    <row r="74" spans="1:43" s="236" customFormat="1" ht="14.25" customHeight="1" x14ac:dyDescent="0.2">
      <c r="A74" s="515" t="s">
        <v>150</v>
      </c>
      <c r="B74" s="516"/>
      <c r="C74" s="516"/>
      <c r="D74" s="516"/>
      <c r="E74" s="516"/>
      <c r="F74" s="516"/>
      <c r="G74" s="516"/>
      <c r="H74" s="516"/>
      <c r="I74" s="516"/>
      <c r="J74" s="516"/>
      <c r="K74" s="516"/>
      <c r="L74" s="264">
        <f>SUM(L48:L73)</f>
        <v>0</v>
      </c>
      <c r="M74" s="264">
        <f>SUM(M48:M73)</f>
        <v>0</v>
      </c>
      <c r="N74" s="264">
        <f>SUM(N48:N73)</f>
        <v>0</v>
      </c>
      <c r="O74" s="264">
        <f>SUM(O48:O73)</f>
        <v>0</v>
      </c>
      <c r="P74" s="264">
        <f>SUM(P48:P73)</f>
        <v>0</v>
      </c>
      <c r="Q74" s="527">
        <f>SUM(Q48:S73)</f>
        <v>0</v>
      </c>
      <c r="R74" s="527"/>
      <c r="S74" s="527"/>
      <c r="U74" s="230"/>
      <c r="V74" s="230"/>
      <c r="W74" s="230"/>
      <c r="X74" s="230"/>
      <c r="Y74" s="230"/>
      <c r="Z74" s="230"/>
      <c r="AA74" s="230"/>
      <c r="AB74" s="237"/>
      <c r="AC74" s="237"/>
      <c r="AD74" s="237"/>
      <c r="AE74" s="237"/>
      <c r="AF74" s="237"/>
      <c r="AG74" s="237"/>
      <c r="AH74" s="237"/>
      <c r="AI74" s="237"/>
      <c r="AJ74" s="237"/>
      <c r="AK74" s="237"/>
      <c r="AL74" s="237"/>
      <c r="AM74" s="237"/>
      <c r="AN74" s="237"/>
      <c r="AO74" s="237"/>
      <c r="AP74" s="237"/>
      <c r="AQ74" s="237"/>
    </row>
    <row r="75" spans="1:43" s="236" customFormat="1" ht="14.25" customHeight="1" x14ac:dyDescent="0.2">
      <c r="A75" s="515" t="s">
        <v>304</v>
      </c>
      <c r="B75" s="528"/>
      <c r="C75" s="528"/>
      <c r="D75" s="528"/>
      <c r="E75" s="528"/>
      <c r="F75" s="528"/>
      <c r="G75" s="528"/>
      <c r="H75" s="528"/>
      <c r="I75" s="528"/>
      <c r="J75" s="528"/>
      <c r="K75" s="528"/>
      <c r="L75" s="528"/>
      <c r="M75" s="528"/>
      <c r="N75" s="528"/>
      <c r="O75" s="529"/>
      <c r="P75" s="518">
        <f>Q74+Q45</f>
        <v>0</v>
      </c>
      <c r="Q75" s="530"/>
      <c r="R75" s="530"/>
      <c r="S75" s="531"/>
      <c r="U75" s="230"/>
      <c r="V75" s="230"/>
      <c r="W75" s="230"/>
      <c r="X75" s="230"/>
      <c r="Y75" s="230"/>
      <c r="Z75" s="230"/>
      <c r="AA75" s="230"/>
      <c r="AB75" s="237"/>
      <c r="AC75" s="237"/>
      <c r="AD75" s="237"/>
      <c r="AE75" s="237"/>
      <c r="AF75" s="237"/>
      <c r="AG75" s="237"/>
      <c r="AH75" s="237"/>
      <c r="AI75" s="237"/>
      <c r="AJ75" s="237"/>
      <c r="AK75" s="237"/>
      <c r="AL75" s="237"/>
      <c r="AM75" s="237"/>
      <c r="AN75" s="237"/>
      <c r="AO75" s="237"/>
      <c r="AP75" s="237"/>
      <c r="AQ75" s="237"/>
    </row>
    <row r="76" spans="1:43" s="236" customFormat="1" ht="14.25" customHeight="1" x14ac:dyDescent="0.2">
      <c r="A76" s="512" t="s">
        <v>157</v>
      </c>
      <c r="B76" s="513"/>
      <c r="C76" s="513"/>
      <c r="D76" s="514"/>
      <c r="E76" s="512" t="s">
        <v>305</v>
      </c>
      <c r="F76" s="513"/>
      <c r="G76" s="513"/>
      <c r="H76" s="513"/>
      <c r="I76" s="513"/>
      <c r="J76" s="513"/>
      <c r="K76" s="513"/>
      <c r="L76" s="513"/>
      <c r="M76" s="513"/>
      <c r="N76" s="513"/>
      <c r="O76" s="513"/>
      <c r="P76" s="513"/>
      <c r="Q76" s="513"/>
      <c r="R76" s="513"/>
      <c r="S76" s="514"/>
      <c r="U76" s="500" t="s">
        <v>381</v>
      </c>
      <c r="V76" s="500"/>
      <c r="W76" s="500"/>
      <c r="X76" s="500"/>
      <c r="Y76" s="500"/>
      <c r="Z76" s="500"/>
      <c r="AA76" s="500"/>
      <c r="AB76" s="237"/>
      <c r="AC76" s="237"/>
      <c r="AD76" s="237"/>
      <c r="AE76" s="237"/>
      <c r="AF76" s="237"/>
      <c r="AG76" s="237"/>
      <c r="AH76" s="237"/>
      <c r="AI76" s="237"/>
      <c r="AJ76" s="237"/>
      <c r="AK76" s="237"/>
      <c r="AL76" s="237"/>
      <c r="AM76" s="237"/>
      <c r="AN76" s="237"/>
      <c r="AO76" s="237"/>
      <c r="AP76" s="237"/>
      <c r="AQ76" s="237"/>
    </row>
    <row r="77" spans="1:43" s="236" customFormat="1" ht="14.25" customHeight="1" x14ac:dyDescent="0.2">
      <c r="A77" s="499" t="s">
        <v>380</v>
      </c>
      <c r="B77" s="501"/>
      <c r="C77" s="501"/>
      <c r="D77" s="501"/>
      <c r="E77" s="501"/>
      <c r="F77" s="501"/>
      <c r="G77" s="501"/>
      <c r="H77" s="501"/>
      <c r="I77" s="501"/>
      <c r="J77" s="501"/>
      <c r="K77" s="501"/>
      <c r="L77" s="501"/>
      <c r="M77" s="501"/>
      <c r="N77" s="501"/>
      <c r="O77" s="502"/>
      <c r="P77" s="503"/>
      <c r="Q77" s="504"/>
      <c r="R77" s="504"/>
      <c r="S77" s="505"/>
      <c r="U77" s="500"/>
      <c r="V77" s="500"/>
      <c r="W77" s="500"/>
      <c r="X77" s="500"/>
      <c r="Y77" s="500"/>
      <c r="Z77" s="500"/>
      <c r="AA77" s="500"/>
      <c r="AB77" s="237"/>
      <c r="AC77" s="237"/>
      <c r="AD77" s="237"/>
      <c r="AE77" s="237"/>
      <c r="AF77" s="237"/>
      <c r="AG77" s="237"/>
      <c r="AH77" s="237"/>
      <c r="AI77" s="237"/>
      <c r="AJ77" s="237"/>
      <c r="AK77" s="237"/>
      <c r="AL77" s="237"/>
      <c r="AM77" s="237"/>
      <c r="AN77" s="237"/>
      <c r="AO77" s="237"/>
      <c r="AP77" s="237"/>
      <c r="AQ77" s="237"/>
    </row>
    <row r="78" spans="1:43" s="236" customFormat="1" ht="14.25" customHeight="1" x14ac:dyDescent="0.2">
      <c r="A78" s="499" t="s">
        <v>379</v>
      </c>
      <c r="B78" s="501"/>
      <c r="C78" s="501"/>
      <c r="D78" s="501"/>
      <c r="E78" s="501"/>
      <c r="F78" s="501"/>
      <c r="G78" s="501"/>
      <c r="H78" s="501"/>
      <c r="I78" s="501"/>
      <c r="J78" s="501"/>
      <c r="K78" s="501"/>
      <c r="L78" s="501"/>
      <c r="M78" s="501"/>
      <c r="N78" s="501"/>
      <c r="O78" s="502"/>
      <c r="P78" s="503"/>
      <c r="Q78" s="539"/>
      <c r="R78" s="539"/>
      <c r="S78" s="540"/>
      <c r="U78" s="500"/>
      <c r="V78" s="500"/>
      <c r="W78" s="500"/>
      <c r="X78" s="500"/>
      <c r="Y78" s="500"/>
      <c r="Z78" s="500"/>
      <c r="AA78" s="500"/>
      <c r="AB78" s="237"/>
      <c r="AC78" s="237"/>
      <c r="AD78" s="237"/>
      <c r="AE78" s="237"/>
      <c r="AF78" s="237"/>
      <c r="AG78" s="237"/>
      <c r="AH78" s="237"/>
      <c r="AI78" s="237"/>
      <c r="AJ78" s="237"/>
      <c r="AK78" s="237"/>
      <c r="AL78" s="237"/>
      <c r="AM78" s="237"/>
      <c r="AN78" s="237"/>
      <c r="AO78" s="237"/>
      <c r="AP78" s="237"/>
      <c r="AQ78" s="237"/>
    </row>
    <row r="79" spans="1:43" s="236" customFormat="1" ht="14.25" customHeight="1" x14ac:dyDescent="0.2">
      <c r="A79" s="499" t="s">
        <v>378</v>
      </c>
      <c r="B79" s="501"/>
      <c r="C79" s="501"/>
      <c r="D79" s="501"/>
      <c r="E79" s="501"/>
      <c r="F79" s="501"/>
      <c r="G79" s="501"/>
      <c r="H79" s="501"/>
      <c r="I79" s="501"/>
      <c r="J79" s="501"/>
      <c r="K79" s="501"/>
      <c r="L79" s="501"/>
      <c r="M79" s="501"/>
      <c r="N79" s="501"/>
      <c r="O79" s="502"/>
      <c r="P79" s="503"/>
      <c r="Q79" s="539"/>
      <c r="R79" s="539"/>
      <c r="S79" s="540"/>
      <c r="U79" s="500"/>
      <c r="V79" s="500"/>
      <c r="W79" s="500"/>
      <c r="X79" s="500"/>
      <c r="Y79" s="500"/>
      <c r="Z79" s="500"/>
      <c r="AA79" s="500"/>
      <c r="AB79" s="237"/>
      <c r="AC79" s="237"/>
      <c r="AD79" s="237"/>
      <c r="AE79" s="237"/>
      <c r="AF79" s="237"/>
      <c r="AG79" s="237"/>
      <c r="AH79" s="237"/>
      <c r="AI79" s="237"/>
      <c r="AJ79" s="237"/>
      <c r="AK79" s="237"/>
      <c r="AL79" s="237"/>
      <c r="AM79" s="237"/>
      <c r="AN79" s="237"/>
      <c r="AO79" s="237"/>
      <c r="AP79" s="237"/>
      <c r="AQ79" s="237"/>
    </row>
    <row r="80" spans="1:43" s="236" customFormat="1" ht="14.25" customHeight="1" x14ac:dyDescent="0.2">
      <c r="A80" s="515" t="s">
        <v>150</v>
      </c>
      <c r="B80" s="516"/>
      <c r="C80" s="516"/>
      <c r="D80" s="516"/>
      <c r="E80" s="516"/>
      <c r="F80" s="516"/>
      <c r="G80" s="516"/>
      <c r="H80" s="516"/>
      <c r="I80" s="516"/>
      <c r="J80" s="516"/>
      <c r="K80" s="516"/>
      <c r="L80" s="516"/>
      <c r="M80" s="516"/>
      <c r="N80" s="516"/>
      <c r="O80" s="517"/>
      <c r="P80" s="518">
        <f>SUM(P77:S79)</f>
        <v>0</v>
      </c>
      <c r="Q80" s="519"/>
      <c r="R80" s="519"/>
      <c r="S80" s="520"/>
      <c r="U80" s="500"/>
      <c r="V80" s="500"/>
      <c r="W80" s="500"/>
      <c r="X80" s="500"/>
      <c r="Y80" s="500"/>
      <c r="Z80" s="500"/>
      <c r="AA80" s="500"/>
      <c r="AB80" s="237"/>
      <c r="AC80" s="237"/>
      <c r="AD80" s="237"/>
      <c r="AE80" s="237"/>
      <c r="AF80" s="237"/>
      <c r="AG80" s="237"/>
      <c r="AH80" s="237"/>
      <c r="AI80" s="237"/>
      <c r="AJ80" s="237"/>
      <c r="AK80" s="237"/>
      <c r="AL80" s="237"/>
      <c r="AM80" s="237"/>
      <c r="AN80" s="237"/>
      <c r="AO80" s="237"/>
      <c r="AP80" s="237"/>
      <c r="AQ80" s="237"/>
    </row>
    <row r="81" spans="1:43" s="258" customFormat="1" ht="14.25" customHeight="1" x14ac:dyDescent="0.2">
      <c r="A81" s="506"/>
      <c r="B81" s="507"/>
      <c r="C81" s="507"/>
      <c r="D81" s="507"/>
      <c r="E81" s="507"/>
      <c r="F81" s="507"/>
      <c r="G81" s="507"/>
      <c r="H81" s="507"/>
      <c r="I81" s="507"/>
      <c r="J81" s="507"/>
      <c r="K81" s="507"/>
      <c r="L81" s="507"/>
      <c r="M81" s="507"/>
      <c r="N81" s="507"/>
      <c r="O81" s="507"/>
      <c r="P81" s="507"/>
      <c r="Q81" s="507"/>
      <c r="R81" s="507"/>
      <c r="S81" s="508"/>
      <c r="U81" s="500"/>
      <c r="V81" s="500"/>
      <c r="W81" s="500"/>
      <c r="X81" s="500"/>
      <c r="Y81" s="500"/>
      <c r="Z81" s="500"/>
      <c r="AA81" s="500"/>
      <c r="AB81" s="259"/>
      <c r="AC81" s="237"/>
      <c r="AD81" s="237"/>
      <c r="AE81" s="237"/>
      <c r="AF81" s="237"/>
      <c r="AG81" s="237"/>
      <c r="AH81" s="237"/>
      <c r="AI81" s="237"/>
      <c r="AJ81" s="237"/>
      <c r="AK81" s="237"/>
      <c r="AL81" s="237"/>
      <c r="AM81" s="237"/>
      <c r="AN81" s="237"/>
      <c r="AO81" s="259"/>
      <c r="AP81" s="259"/>
      <c r="AQ81" s="259"/>
    </row>
    <row r="82" spans="1:43" s="258" customFormat="1" ht="14.25" customHeight="1" x14ac:dyDescent="0.2">
      <c r="A82" s="509" t="s">
        <v>158</v>
      </c>
      <c r="B82" s="510"/>
      <c r="C82" s="510"/>
      <c r="D82" s="511"/>
      <c r="E82" s="509" t="s">
        <v>306</v>
      </c>
      <c r="F82" s="510"/>
      <c r="G82" s="510"/>
      <c r="H82" s="510"/>
      <c r="I82" s="510"/>
      <c r="J82" s="510"/>
      <c r="K82" s="510"/>
      <c r="L82" s="510"/>
      <c r="M82" s="510"/>
      <c r="N82" s="510"/>
      <c r="O82" s="510"/>
      <c r="P82" s="510"/>
      <c r="Q82" s="510"/>
      <c r="R82" s="510"/>
      <c r="S82" s="511"/>
      <c r="U82" s="500"/>
      <c r="V82" s="500"/>
      <c r="W82" s="500"/>
      <c r="X82" s="500"/>
      <c r="Y82" s="500"/>
      <c r="Z82" s="500"/>
      <c r="AA82" s="500"/>
      <c r="AB82" s="259"/>
      <c r="AC82" s="237"/>
      <c r="AD82" s="237"/>
      <c r="AE82" s="237"/>
      <c r="AF82" s="237"/>
      <c r="AG82" s="237"/>
      <c r="AH82" s="237"/>
      <c r="AI82" s="237"/>
      <c r="AJ82" s="237"/>
      <c r="AK82" s="237"/>
      <c r="AL82" s="237"/>
      <c r="AM82" s="237"/>
      <c r="AN82" s="237"/>
      <c r="AO82" s="259"/>
      <c r="AP82" s="259"/>
      <c r="AQ82" s="259"/>
    </row>
    <row r="83" spans="1:43" s="265" customFormat="1" ht="14.25" customHeight="1" x14ac:dyDescent="0.2">
      <c r="A83" s="495" t="s">
        <v>159</v>
      </c>
      <c r="B83" s="495"/>
      <c r="C83" s="495"/>
      <c r="D83" s="495"/>
      <c r="E83" s="495"/>
      <c r="F83" s="495"/>
      <c r="G83" s="495"/>
      <c r="H83" s="495"/>
      <c r="I83" s="495"/>
      <c r="J83" s="495"/>
      <c r="K83" s="495"/>
      <c r="L83" s="495"/>
      <c r="M83" s="495"/>
      <c r="N83" s="499"/>
      <c r="O83" s="499"/>
      <c r="P83" s="496">
        <f>+'[1]2-CS In-Kind'!K20</f>
        <v>0</v>
      </c>
      <c r="Q83" s="497"/>
      <c r="R83" s="497"/>
      <c r="S83" s="498"/>
      <c r="U83" s="500"/>
      <c r="V83" s="500"/>
      <c r="W83" s="500"/>
      <c r="X83" s="500"/>
      <c r="Y83" s="500"/>
      <c r="Z83" s="500"/>
      <c r="AA83" s="500"/>
      <c r="AB83" s="266"/>
      <c r="AC83" s="237"/>
      <c r="AD83" s="237"/>
      <c r="AE83" s="237"/>
      <c r="AF83" s="237"/>
      <c r="AG83" s="237"/>
      <c r="AH83" s="237"/>
      <c r="AI83" s="237"/>
      <c r="AJ83" s="237"/>
      <c r="AK83" s="237"/>
      <c r="AL83" s="237"/>
      <c r="AM83" s="237"/>
      <c r="AN83" s="237"/>
      <c r="AO83" s="266"/>
      <c r="AP83" s="266"/>
      <c r="AQ83" s="266"/>
    </row>
    <row r="84" spans="1:43" s="265" customFormat="1" ht="14.25" customHeight="1" x14ac:dyDescent="0.2">
      <c r="A84" s="495" t="s">
        <v>160</v>
      </c>
      <c r="B84" s="495"/>
      <c r="C84" s="495"/>
      <c r="D84" s="495"/>
      <c r="E84" s="495"/>
      <c r="F84" s="495"/>
      <c r="G84" s="495"/>
      <c r="H84" s="495"/>
      <c r="I84" s="495"/>
      <c r="J84" s="495"/>
      <c r="K84" s="495"/>
      <c r="L84" s="495"/>
      <c r="M84" s="495"/>
      <c r="N84" s="499"/>
      <c r="O84" s="499"/>
      <c r="P84" s="496">
        <f>+'[1]2-CS In-Kind'!K32</f>
        <v>0</v>
      </c>
      <c r="Q84" s="497"/>
      <c r="R84" s="497"/>
      <c r="S84" s="498"/>
      <c r="U84" s="500"/>
      <c r="V84" s="500"/>
      <c r="W84" s="500"/>
      <c r="X84" s="500"/>
      <c r="Y84" s="500"/>
      <c r="Z84" s="500"/>
      <c r="AA84" s="500"/>
      <c r="AB84" s="266"/>
      <c r="AC84" s="237"/>
      <c r="AD84" s="237"/>
      <c r="AE84" s="237"/>
      <c r="AF84" s="237"/>
      <c r="AG84" s="237"/>
      <c r="AH84" s="237"/>
      <c r="AI84" s="237"/>
      <c r="AJ84" s="237"/>
      <c r="AK84" s="237"/>
      <c r="AL84" s="237"/>
      <c r="AM84" s="237"/>
      <c r="AN84" s="237"/>
      <c r="AO84" s="266"/>
      <c r="AP84" s="266"/>
      <c r="AQ84" s="266"/>
    </row>
    <row r="85" spans="1:43" s="265" customFormat="1" ht="14.25" customHeight="1" x14ac:dyDescent="0.2">
      <c r="A85" s="515" t="s">
        <v>161</v>
      </c>
      <c r="B85" s="516"/>
      <c r="C85" s="516"/>
      <c r="D85" s="516"/>
      <c r="E85" s="516"/>
      <c r="F85" s="516"/>
      <c r="G85" s="516"/>
      <c r="H85" s="516"/>
      <c r="I85" s="516"/>
      <c r="J85" s="516"/>
      <c r="K85" s="516"/>
      <c r="L85" s="516"/>
      <c r="M85" s="516"/>
      <c r="N85" s="516"/>
      <c r="O85" s="517"/>
      <c r="P85" s="518">
        <f>SUM(P83:S84)</f>
        <v>0</v>
      </c>
      <c r="Q85" s="519"/>
      <c r="R85" s="519"/>
      <c r="S85" s="520"/>
      <c r="T85" s="236"/>
      <c r="U85" s="500"/>
      <c r="V85" s="500"/>
      <c r="W85" s="500"/>
      <c r="X85" s="500"/>
      <c r="Y85" s="500"/>
      <c r="Z85" s="500"/>
      <c r="AA85" s="500"/>
      <c r="AB85" s="266"/>
      <c r="AC85" s="237"/>
      <c r="AD85" s="237"/>
      <c r="AE85" s="237"/>
      <c r="AF85" s="237"/>
      <c r="AG85" s="237"/>
      <c r="AH85" s="237"/>
      <c r="AI85" s="237"/>
      <c r="AJ85" s="237"/>
      <c r="AK85" s="237"/>
      <c r="AL85" s="237"/>
      <c r="AM85" s="237"/>
      <c r="AN85" s="237"/>
      <c r="AO85" s="266"/>
      <c r="AP85" s="266"/>
      <c r="AQ85" s="266"/>
    </row>
    <row r="86" spans="1:43" s="236" customFormat="1" ht="14.25" customHeight="1" x14ac:dyDescent="0.2">
      <c r="A86" s="492" t="s">
        <v>162</v>
      </c>
      <c r="B86" s="493"/>
      <c r="C86" s="493"/>
      <c r="D86" s="494"/>
      <c r="E86" s="492" t="s">
        <v>307</v>
      </c>
      <c r="F86" s="493"/>
      <c r="G86" s="493"/>
      <c r="H86" s="493"/>
      <c r="I86" s="493"/>
      <c r="J86" s="493"/>
      <c r="K86" s="493"/>
      <c r="L86" s="493"/>
      <c r="M86" s="493"/>
      <c r="N86" s="493"/>
      <c r="O86" s="493"/>
      <c r="P86" s="493"/>
      <c r="Q86" s="493"/>
      <c r="R86" s="493"/>
      <c r="S86" s="494"/>
      <c r="U86" s="265"/>
      <c r="V86" s="265"/>
      <c r="W86" s="265"/>
      <c r="X86" s="265"/>
      <c r="Y86" s="265"/>
      <c r="Z86" s="265"/>
      <c r="AA86" s="265"/>
      <c r="AB86" s="237"/>
      <c r="AC86" s="237"/>
      <c r="AD86" s="237"/>
      <c r="AE86" s="237"/>
      <c r="AF86" s="237"/>
      <c r="AG86" s="237"/>
      <c r="AH86" s="237"/>
      <c r="AI86" s="237"/>
      <c r="AJ86" s="237"/>
      <c r="AK86" s="237"/>
      <c r="AL86" s="237"/>
      <c r="AM86" s="237"/>
      <c r="AN86" s="237"/>
      <c r="AO86" s="237"/>
      <c r="AP86" s="237"/>
      <c r="AQ86" s="237"/>
    </row>
    <row r="87" spans="1:43" s="236" customFormat="1" ht="14.25" customHeight="1" x14ac:dyDescent="0.2">
      <c r="A87" s="495" t="s">
        <v>163</v>
      </c>
      <c r="B87" s="495"/>
      <c r="C87" s="495"/>
      <c r="D87" s="495"/>
      <c r="E87" s="495"/>
      <c r="F87" s="495"/>
      <c r="G87" s="495"/>
      <c r="H87" s="495"/>
      <c r="I87" s="495"/>
      <c r="J87" s="495"/>
      <c r="K87" s="495"/>
      <c r="L87" s="495"/>
      <c r="M87" s="495"/>
      <c r="N87" s="495"/>
      <c r="O87" s="495"/>
      <c r="P87" s="496">
        <f>+'[1]3-CS External'!K19</f>
        <v>0</v>
      </c>
      <c r="Q87" s="497"/>
      <c r="R87" s="497"/>
      <c r="S87" s="498"/>
      <c r="AB87" s="237"/>
      <c r="AC87" s="237"/>
      <c r="AD87" s="237"/>
      <c r="AE87" s="237"/>
      <c r="AF87" s="237"/>
      <c r="AG87" s="237"/>
      <c r="AH87" s="237"/>
      <c r="AI87" s="237"/>
      <c r="AJ87" s="237"/>
      <c r="AK87" s="237"/>
      <c r="AL87" s="237"/>
      <c r="AM87" s="237"/>
      <c r="AN87" s="237"/>
      <c r="AO87" s="237"/>
      <c r="AP87" s="237"/>
      <c r="AQ87" s="237"/>
    </row>
    <row r="88" spans="1:43" s="236" customFormat="1" ht="14.25" customHeight="1" x14ac:dyDescent="0.2">
      <c r="A88" s="495" t="s">
        <v>164</v>
      </c>
      <c r="B88" s="495"/>
      <c r="C88" s="495"/>
      <c r="D88" s="495"/>
      <c r="E88" s="495"/>
      <c r="F88" s="495"/>
      <c r="G88" s="495"/>
      <c r="H88" s="495"/>
      <c r="I88" s="495"/>
      <c r="J88" s="495"/>
      <c r="K88" s="495"/>
      <c r="L88" s="495"/>
      <c r="M88" s="495"/>
      <c r="N88" s="499"/>
      <c r="O88" s="499"/>
      <c r="P88" s="496">
        <f>+'[1]3-CS External'!K31</f>
        <v>0</v>
      </c>
      <c r="Q88" s="497"/>
      <c r="R88" s="497"/>
      <c r="S88" s="498"/>
      <c r="T88" s="258"/>
      <c r="U88" s="258"/>
      <c r="W88" s="267"/>
      <c r="X88" s="267"/>
      <c r="Y88" s="267"/>
      <c r="Z88" s="258"/>
      <c r="AA88" s="258"/>
      <c r="AB88" s="237"/>
      <c r="AC88" s="237"/>
      <c r="AD88" s="237"/>
      <c r="AE88" s="237"/>
      <c r="AF88" s="237"/>
      <c r="AG88" s="237"/>
      <c r="AH88" s="237"/>
      <c r="AI88" s="237"/>
      <c r="AJ88" s="237"/>
      <c r="AK88" s="237"/>
      <c r="AL88" s="237"/>
      <c r="AM88" s="237"/>
      <c r="AN88" s="237"/>
      <c r="AO88" s="237"/>
      <c r="AP88" s="237"/>
      <c r="AQ88" s="237"/>
    </row>
    <row r="89" spans="1:43" s="258" customFormat="1" ht="14.25" customHeight="1" x14ac:dyDescent="0.2">
      <c r="A89" s="515" t="s">
        <v>165</v>
      </c>
      <c r="B89" s="516"/>
      <c r="C89" s="516"/>
      <c r="D89" s="516"/>
      <c r="E89" s="516"/>
      <c r="F89" s="516"/>
      <c r="G89" s="516"/>
      <c r="H89" s="516"/>
      <c r="I89" s="516"/>
      <c r="J89" s="516"/>
      <c r="K89" s="516"/>
      <c r="L89" s="516"/>
      <c r="M89" s="516"/>
      <c r="N89" s="516"/>
      <c r="O89" s="517"/>
      <c r="P89" s="518">
        <f>SUM(P87:S88)</f>
        <v>0</v>
      </c>
      <c r="Q89" s="519"/>
      <c r="R89" s="519"/>
      <c r="S89" s="520"/>
      <c r="T89" s="236"/>
      <c r="U89" s="277" t="s">
        <v>309</v>
      </c>
      <c r="V89" s="236"/>
      <c r="X89" s="267"/>
      <c r="Y89" s="267"/>
      <c r="AB89" s="259"/>
      <c r="AC89" s="237"/>
      <c r="AD89" s="237"/>
      <c r="AE89" s="237"/>
      <c r="AF89" s="237"/>
      <c r="AG89" s="237"/>
      <c r="AH89" s="237"/>
      <c r="AI89" s="237"/>
      <c r="AJ89" s="237"/>
      <c r="AK89" s="237"/>
      <c r="AL89" s="237"/>
      <c r="AM89" s="237"/>
      <c r="AN89" s="237"/>
      <c r="AO89" s="259"/>
      <c r="AP89" s="259"/>
      <c r="AQ89" s="259"/>
    </row>
    <row r="90" spans="1:43" s="236" customFormat="1" ht="14.25" customHeight="1" x14ac:dyDescent="0.2">
      <c r="A90" s="521" t="s">
        <v>166</v>
      </c>
      <c r="B90" s="522"/>
      <c r="C90" s="522"/>
      <c r="D90" s="522"/>
      <c r="E90" s="522"/>
      <c r="F90" s="522"/>
      <c r="G90" s="522"/>
      <c r="H90" s="522"/>
      <c r="I90" s="522"/>
      <c r="J90" s="522"/>
      <c r="K90" s="522"/>
      <c r="L90" s="522"/>
      <c r="M90" s="522"/>
      <c r="N90" s="522"/>
      <c r="O90" s="523"/>
      <c r="P90" s="524">
        <f>SUM(P75+P89+P85+P80)</f>
        <v>0</v>
      </c>
      <c r="Q90" s="525"/>
      <c r="R90" s="525"/>
      <c r="S90" s="526"/>
      <c r="U90" s="276"/>
      <c r="V90" s="268"/>
      <c r="W90" s="269"/>
      <c r="X90" s="269"/>
      <c r="Y90" s="269"/>
      <c r="AB90" s="237"/>
      <c r="AC90" s="237"/>
      <c r="AD90" s="237"/>
      <c r="AE90" s="237"/>
      <c r="AF90" s="237"/>
      <c r="AG90" s="237"/>
      <c r="AH90" s="237"/>
      <c r="AI90" s="237"/>
      <c r="AJ90" s="237"/>
      <c r="AK90" s="237"/>
      <c r="AL90" s="237"/>
      <c r="AM90" s="237"/>
      <c r="AN90" s="237"/>
      <c r="AO90" s="237"/>
      <c r="AP90" s="237"/>
      <c r="AQ90" s="237"/>
    </row>
    <row r="91" spans="1:43" s="236" customFormat="1" ht="14.25" customHeight="1" x14ac:dyDescent="0.3">
      <c r="A91" s="477"/>
      <c r="B91" s="478"/>
      <c r="C91" s="478"/>
      <c r="D91" s="478"/>
      <c r="E91" s="478"/>
      <c r="F91" s="478"/>
      <c r="G91" s="478"/>
      <c r="H91" s="478"/>
      <c r="I91" s="478"/>
      <c r="J91" s="478"/>
      <c r="K91" s="478"/>
      <c r="L91" s="478"/>
      <c r="M91" s="478"/>
      <c r="N91" s="478"/>
      <c r="O91" s="478"/>
      <c r="P91" s="478"/>
      <c r="Q91" s="478"/>
      <c r="R91" s="478"/>
      <c r="S91" s="479"/>
      <c r="V91" s="268"/>
      <c r="W91" s="269"/>
      <c r="X91" s="269"/>
      <c r="Y91" s="269"/>
      <c r="AB91" s="237"/>
      <c r="AC91" s="237"/>
      <c r="AD91" s="237"/>
      <c r="AE91" s="237"/>
      <c r="AF91" s="237"/>
      <c r="AG91" s="237"/>
      <c r="AH91" s="237"/>
      <c r="AI91" s="237"/>
      <c r="AJ91" s="237"/>
      <c r="AK91" s="237"/>
      <c r="AL91" s="237"/>
      <c r="AM91" s="237"/>
      <c r="AN91" s="237"/>
      <c r="AO91" s="237"/>
      <c r="AP91" s="237"/>
      <c r="AQ91" s="237"/>
    </row>
    <row r="92" spans="1:43" s="236" customFormat="1" ht="15" customHeight="1" x14ac:dyDescent="0.2">
      <c r="A92" s="480" t="s">
        <v>308</v>
      </c>
      <c r="B92" s="481"/>
      <c r="C92" s="481"/>
      <c r="D92" s="481"/>
      <c r="E92" s="481"/>
      <c r="F92" s="481"/>
      <c r="G92" s="481"/>
      <c r="H92" s="481"/>
      <c r="I92" s="481"/>
      <c r="J92" s="481"/>
      <c r="K92" s="481"/>
      <c r="L92" s="481"/>
      <c r="M92" s="481"/>
      <c r="N92" s="481"/>
      <c r="O92" s="481"/>
      <c r="P92" s="481"/>
      <c r="Q92" s="481"/>
      <c r="R92" s="481"/>
      <c r="S92" s="482"/>
      <c r="T92" s="258"/>
      <c r="V92" s="268"/>
      <c r="W92" s="269"/>
      <c r="X92" s="269"/>
      <c r="Y92" s="269"/>
      <c r="AB92" s="237"/>
      <c r="AC92" s="237"/>
      <c r="AD92" s="237"/>
      <c r="AE92" s="237"/>
      <c r="AF92" s="237"/>
      <c r="AG92" s="237"/>
      <c r="AH92" s="237"/>
      <c r="AI92" s="237"/>
      <c r="AJ92" s="237"/>
      <c r="AK92" s="237"/>
      <c r="AL92" s="237"/>
      <c r="AM92" s="237"/>
      <c r="AN92" s="237"/>
      <c r="AO92" s="237"/>
      <c r="AP92" s="237"/>
      <c r="AQ92" s="237"/>
    </row>
    <row r="93" spans="1:43" s="258" customFormat="1" ht="12.75" x14ac:dyDescent="0.2">
      <c r="A93" s="483"/>
      <c r="B93" s="484"/>
      <c r="C93" s="484"/>
      <c r="D93" s="484"/>
      <c r="E93" s="484"/>
      <c r="F93" s="484"/>
      <c r="G93" s="484"/>
      <c r="H93" s="484"/>
      <c r="I93" s="484"/>
      <c r="J93" s="484"/>
      <c r="K93" s="484"/>
      <c r="L93" s="484"/>
      <c r="M93" s="484"/>
      <c r="N93" s="484"/>
      <c r="O93" s="484"/>
      <c r="P93" s="484"/>
      <c r="Q93" s="484"/>
      <c r="R93" s="484"/>
      <c r="S93" s="485"/>
      <c r="T93" s="236"/>
      <c r="U93" s="236"/>
      <c r="V93" s="270"/>
      <c r="W93" s="269"/>
      <c r="X93" s="269"/>
      <c r="Y93" s="269"/>
      <c r="Z93" s="236"/>
      <c r="AA93" s="236"/>
      <c r="AB93" s="259"/>
      <c r="AC93" s="237"/>
      <c r="AD93" s="237"/>
      <c r="AE93" s="237"/>
      <c r="AF93" s="237"/>
      <c r="AG93" s="237"/>
      <c r="AH93" s="237"/>
      <c r="AI93" s="237"/>
      <c r="AJ93" s="237"/>
      <c r="AK93" s="237"/>
      <c r="AL93" s="237"/>
      <c r="AM93" s="237"/>
      <c r="AN93" s="237"/>
      <c r="AO93" s="259"/>
      <c r="AP93" s="259"/>
      <c r="AQ93" s="259"/>
    </row>
    <row r="94" spans="1:43" s="236" customFormat="1" ht="12" customHeight="1" x14ac:dyDescent="0.2">
      <c r="A94" s="486"/>
      <c r="B94" s="487"/>
      <c r="C94" s="487"/>
      <c r="D94" s="487"/>
      <c r="E94" s="487"/>
      <c r="F94" s="487"/>
      <c r="G94" s="487"/>
      <c r="H94" s="487"/>
      <c r="I94" s="487"/>
      <c r="J94" s="487"/>
      <c r="K94" s="487"/>
      <c r="L94" s="487"/>
      <c r="M94" s="487"/>
      <c r="N94" s="487"/>
      <c r="O94" s="487"/>
      <c r="P94" s="487"/>
      <c r="Q94" s="487"/>
      <c r="R94" s="487"/>
      <c r="S94" s="488"/>
      <c r="U94" s="225"/>
      <c r="V94" s="270"/>
      <c r="W94" s="271"/>
      <c r="X94" s="271"/>
      <c r="Y94" s="271"/>
      <c r="Z94" s="225"/>
      <c r="AA94" s="225"/>
      <c r="AB94" s="237"/>
      <c r="AC94" s="237"/>
      <c r="AD94" s="237"/>
      <c r="AE94" s="237"/>
      <c r="AF94" s="237"/>
      <c r="AG94" s="237"/>
      <c r="AH94" s="237"/>
      <c r="AI94" s="237"/>
      <c r="AJ94" s="237"/>
      <c r="AK94" s="237"/>
      <c r="AL94" s="237"/>
      <c r="AM94" s="237"/>
      <c r="AN94" s="237"/>
      <c r="AO94" s="237"/>
      <c r="AP94" s="237"/>
      <c r="AQ94" s="237"/>
    </row>
    <row r="95" spans="1:43" s="236" customFormat="1" ht="12" customHeight="1" x14ac:dyDescent="0.25">
      <c r="A95" s="486"/>
      <c r="B95" s="487"/>
      <c r="C95" s="487"/>
      <c r="D95" s="487"/>
      <c r="E95" s="487"/>
      <c r="F95" s="487"/>
      <c r="G95" s="487"/>
      <c r="H95" s="487"/>
      <c r="I95" s="487"/>
      <c r="J95" s="487"/>
      <c r="K95" s="487"/>
      <c r="L95" s="487"/>
      <c r="M95" s="487"/>
      <c r="N95" s="487"/>
      <c r="O95" s="487"/>
      <c r="P95" s="487"/>
      <c r="Q95" s="487"/>
      <c r="R95" s="487"/>
      <c r="S95" s="488"/>
      <c r="U95"/>
      <c r="V95"/>
      <c r="W95"/>
      <c r="X95"/>
      <c r="Y95"/>
      <c r="Z95"/>
      <c r="AA95"/>
      <c r="AB95" s="237"/>
      <c r="AC95" s="237"/>
      <c r="AD95" s="237"/>
      <c r="AE95" s="237"/>
      <c r="AF95" s="237"/>
      <c r="AG95" s="237"/>
      <c r="AH95" s="237"/>
      <c r="AI95" s="237"/>
      <c r="AJ95" s="237"/>
      <c r="AK95" s="237"/>
      <c r="AL95" s="237"/>
      <c r="AM95" s="237"/>
      <c r="AN95" s="237"/>
      <c r="AO95" s="237"/>
      <c r="AP95" s="237"/>
      <c r="AQ95" s="237"/>
    </row>
    <row r="96" spans="1:43" s="236" customFormat="1" ht="12" customHeight="1" x14ac:dyDescent="0.25">
      <c r="A96" s="486"/>
      <c r="B96" s="487"/>
      <c r="C96" s="487"/>
      <c r="D96" s="487"/>
      <c r="E96" s="487"/>
      <c r="F96" s="487"/>
      <c r="G96" s="487"/>
      <c r="H96" s="487"/>
      <c r="I96" s="487"/>
      <c r="J96" s="487"/>
      <c r="K96" s="487"/>
      <c r="L96" s="487"/>
      <c r="M96" s="487"/>
      <c r="N96" s="487"/>
      <c r="O96" s="487"/>
      <c r="P96" s="487"/>
      <c r="Q96" s="487"/>
      <c r="R96" s="487"/>
      <c r="S96" s="488"/>
      <c r="T96" s="225"/>
      <c r="U96"/>
      <c r="V96" s="270"/>
      <c r="W96" s="272"/>
      <c r="X96"/>
      <c r="Y96"/>
      <c r="Z96"/>
      <c r="AA96"/>
      <c r="AB96" s="237"/>
      <c r="AC96" s="237"/>
      <c r="AD96" s="237"/>
      <c r="AE96" s="226"/>
      <c r="AF96" s="237"/>
      <c r="AG96" s="237"/>
      <c r="AH96" s="237"/>
      <c r="AI96" s="237"/>
      <c r="AJ96" s="237"/>
      <c r="AK96" s="237"/>
      <c r="AL96" s="237"/>
      <c r="AM96" s="237"/>
      <c r="AN96" s="237"/>
      <c r="AO96" s="237"/>
      <c r="AP96" s="237"/>
      <c r="AQ96" s="237"/>
    </row>
    <row r="97" spans="1:43" s="225" customFormat="1" ht="12" customHeight="1" x14ac:dyDescent="0.25">
      <c r="A97" s="486"/>
      <c r="B97" s="487"/>
      <c r="C97" s="487"/>
      <c r="D97" s="487"/>
      <c r="E97" s="487"/>
      <c r="F97" s="487"/>
      <c r="G97" s="487"/>
      <c r="H97" s="487"/>
      <c r="I97" s="487"/>
      <c r="J97" s="487"/>
      <c r="K97" s="487"/>
      <c r="L97" s="487"/>
      <c r="M97" s="487"/>
      <c r="N97" s="487"/>
      <c r="O97" s="487"/>
      <c r="P97" s="487"/>
      <c r="Q97" s="487"/>
      <c r="R97" s="487"/>
      <c r="S97" s="488"/>
      <c r="U97"/>
      <c r="V97"/>
      <c r="W97"/>
      <c r="X97"/>
      <c r="Y97"/>
      <c r="Z97"/>
      <c r="AA97"/>
      <c r="AB97" s="226"/>
      <c r="AC97" s="237"/>
      <c r="AD97" s="237"/>
      <c r="AE97" s="226"/>
      <c r="AF97" s="237"/>
      <c r="AG97" s="237"/>
      <c r="AH97" s="237"/>
      <c r="AI97" s="237"/>
      <c r="AJ97" s="237"/>
      <c r="AK97" s="237"/>
      <c r="AL97" s="237"/>
      <c r="AM97" s="237"/>
      <c r="AN97" s="237"/>
      <c r="AO97" s="226"/>
      <c r="AP97" s="226"/>
      <c r="AQ97" s="226"/>
    </row>
    <row r="98" spans="1:43" s="225" customFormat="1" ht="12" customHeight="1" x14ac:dyDescent="0.25">
      <c r="A98" s="486"/>
      <c r="B98" s="487"/>
      <c r="C98" s="487"/>
      <c r="D98" s="487"/>
      <c r="E98" s="487"/>
      <c r="F98" s="487"/>
      <c r="G98" s="487"/>
      <c r="H98" s="487"/>
      <c r="I98" s="487"/>
      <c r="J98" s="487"/>
      <c r="K98" s="487"/>
      <c r="L98" s="487"/>
      <c r="M98" s="487"/>
      <c r="N98" s="487"/>
      <c r="O98" s="487"/>
      <c r="P98" s="487"/>
      <c r="Q98" s="487"/>
      <c r="R98" s="487"/>
      <c r="S98" s="488"/>
      <c r="T98"/>
      <c r="U98"/>
      <c r="V98"/>
      <c r="W98"/>
      <c r="X98"/>
      <c r="Y98"/>
      <c r="Z98"/>
      <c r="AA98"/>
      <c r="AB98" s="226"/>
      <c r="AC98" s="237"/>
      <c r="AD98" s="237"/>
      <c r="AE98" s="13"/>
      <c r="AF98" s="237"/>
      <c r="AG98" s="237"/>
      <c r="AH98" s="237"/>
      <c r="AI98" s="237"/>
      <c r="AJ98" s="237"/>
      <c r="AK98" s="237"/>
      <c r="AL98" s="237"/>
      <c r="AM98" s="237"/>
      <c r="AN98" s="237"/>
      <c r="AO98" s="226"/>
      <c r="AP98" s="226"/>
      <c r="AQ98" s="226"/>
    </row>
    <row r="99" spans="1:43" ht="12" customHeight="1" x14ac:dyDescent="0.25">
      <c r="A99" s="486"/>
      <c r="B99" s="487"/>
      <c r="C99" s="487"/>
      <c r="D99" s="487"/>
      <c r="E99" s="487"/>
      <c r="F99" s="487"/>
      <c r="G99" s="487"/>
      <c r="H99" s="487"/>
      <c r="I99" s="487"/>
      <c r="J99" s="487"/>
      <c r="K99" s="487"/>
      <c r="L99" s="487"/>
      <c r="M99" s="487"/>
      <c r="N99" s="487"/>
      <c r="O99" s="487"/>
      <c r="P99" s="487"/>
      <c r="Q99" s="487"/>
      <c r="R99" s="487"/>
      <c r="S99" s="488"/>
      <c r="Y99" s="273"/>
      <c r="AC99" s="237"/>
      <c r="AD99" s="237"/>
      <c r="AF99" s="237"/>
      <c r="AG99" s="237"/>
      <c r="AH99" s="237"/>
      <c r="AI99" s="237"/>
      <c r="AJ99" s="237"/>
      <c r="AK99" s="237"/>
      <c r="AL99" s="237"/>
      <c r="AM99" s="237"/>
      <c r="AN99" s="237"/>
    </row>
    <row r="100" spans="1:43" ht="12" customHeight="1" x14ac:dyDescent="0.25">
      <c r="A100" s="486"/>
      <c r="B100" s="487"/>
      <c r="C100" s="487"/>
      <c r="D100" s="487"/>
      <c r="E100" s="487"/>
      <c r="F100" s="487"/>
      <c r="G100" s="487"/>
      <c r="H100" s="487"/>
      <c r="I100" s="487"/>
      <c r="J100" s="487"/>
      <c r="K100" s="487"/>
      <c r="L100" s="487"/>
      <c r="M100" s="487"/>
      <c r="N100" s="487"/>
      <c r="O100" s="487"/>
      <c r="P100" s="487"/>
      <c r="Q100" s="487"/>
      <c r="R100" s="487"/>
      <c r="S100" s="488"/>
      <c r="AC100" s="237"/>
      <c r="AD100" s="237"/>
      <c r="AF100" s="237"/>
      <c r="AG100" s="237"/>
      <c r="AH100" s="237"/>
      <c r="AI100" s="237"/>
      <c r="AJ100" s="237"/>
      <c r="AK100" s="237"/>
      <c r="AL100" s="237"/>
      <c r="AM100" s="237"/>
      <c r="AN100" s="237"/>
    </row>
    <row r="101" spans="1:43" ht="12" customHeight="1" x14ac:dyDescent="0.25">
      <c r="A101" s="489"/>
      <c r="B101" s="490"/>
      <c r="C101" s="490"/>
      <c r="D101" s="490"/>
      <c r="E101" s="490"/>
      <c r="F101" s="490"/>
      <c r="G101" s="490"/>
      <c r="H101" s="490"/>
      <c r="I101" s="490"/>
      <c r="J101" s="490"/>
      <c r="K101" s="490"/>
      <c r="L101" s="490"/>
      <c r="M101" s="490"/>
      <c r="N101" s="490"/>
      <c r="O101" s="490"/>
      <c r="P101" s="490"/>
      <c r="Q101" s="490"/>
      <c r="R101" s="490"/>
      <c r="S101" s="491"/>
      <c r="AC101" s="237"/>
      <c r="AD101" s="237"/>
      <c r="AF101" s="237"/>
      <c r="AG101" s="237"/>
      <c r="AH101" s="237"/>
      <c r="AI101" s="237"/>
      <c r="AJ101" s="237"/>
      <c r="AK101" s="237"/>
      <c r="AL101" s="237"/>
      <c r="AM101" s="237"/>
      <c r="AN101" s="237"/>
    </row>
    <row r="102" spans="1:43" ht="12" customHeight="1" x14ac:dyDescent="0.25">
      <c r="AC102" s="237"/>
      <c r="AD102" s="237"/>
      <c r="AF102" s="237"/>
      <c r="AG102" s="237"/>
      <c r="AH102" s="237"/>
      <c r="AI102" s="237"/>
      <c r="AJ102" s="237"/>
      <c r="AK102" s="237"/>
      <c r="AL102" s="237"/>
      <c r="AM102" s="237"/>
      <c r="AN102" s="237"/>
    </row>
    <row r="103" spans="1:43" ht="12" customHeight="1" x14ac:dyDescent="0.25">
      <c r="AC103" s="237"/>
      <c r="AD103" s="237"/>
      <c r="AF103" s="237"/>
      <c r="AG103" s="237"/>
      <c r="AH103" s="237"/>
      <c r="AI103" s="237"/>
      <c r="AJ103" s="237"/>
      <c r="AK103" s="237"/>
      <c r="AL103" s="237"/>
      <c r="AM103" s="237"/>
      <c r="AN103" s="237"/>
    </row>
    <row r="104" spans="1:43" ht="12" customHeight="1" x14ac:dyDescent="0.25">
      <c r="AC104" s="237"/>
      <c r="AD104" s="237"/>
      <c r="AF104" s="237"/>
      <c r="AH104" s="237"/>
      <c r="AI104" s="237"/>
      <c r="AJ104" s="237"/>
      <c r="AK104" s="237"/>
      <c r="AL104" s="237"/>
      <c r="AM104" s="237"/>
      <c r="AN104" s="237"/>
    </row>
    <row r="105" spans="1:43" x14ac:dyDescent="0.25">
      <c r="AC105" s="237"/>
      <c r="AD105" s="237"/>
      <c r="AF105" s="237"/>
      <c r="AG105" s="237"/>
      <c r="AH105" s="237"/>
      <c r="AI105" s="237"/>
      <c r="AJ105" s="237"/>
      <c r="AK105" s="237"/>
      <c r="AL105" s="237"/>
      <c r="AM105" s="237"/>
      <c r="AN105" s="237"/>
    </row>
    <row r="106" spans="1:43" x14ac:dyDescent="0.25">
      <c r="AC106" s="237"/>
      <c r="AD106" s="237"/>
      <c r="AF106" s="237"/>
      <c r="AG106" s="237"/>
      <c r="AH106" s="237"/>
      <c r="AI106" s="237"/>
      <c r="AJ106" s="237"/>
      <c r="AK106" s="237"/>
      <c r="AL106" s="237"/>
      <c r="AM106" s="237"/>
      <c r="AN106" s="237"/>
    </row>
    <row r="107" spans="1:43" x14ac:dyDescent="0.25">
      <c r="AC107" s="237"/>
      <c r="AD107" s="237"/>
      <c r="AF107" s="237"/>
      <c r="AG107" s="237"/>
      <c r="AH107" s="237"/>
      <c r="AI107" s="237"/>
      <c r="AJ107" s="237"/>
      <c r="AK107" s="237"/>
      <c r="AL107" s="237"/>
      <c r="AM107" s="237"/>
      <c r="AN107" s="237"/>
    </row>
    <row r="108" spans="1:43" x14ac:dyDescent="0.25">
      <c r="AC108" s="237"/>
      <c r="AD108" s="237"/>
      <c r="AF108" s="237"/>
      <c r="AG108" s="237"/>
      <c r="AH108" s="237"/>
      <c r="AI108" s="237"/>
      <c r="AJ108" s="237"/>
      <c r="AK108" s="237"/>
      <c r="AL108" s="237"/>
      <c r="AM108" s="237"/>
      <c r="AN108" s="237"/>
    </row>
    <row r="109" spans="1:43" x14ac:dyDescent="0.25">
      <c r="AC109" s="237"/>
      <c r="AD109" s="237"/>
      <c r="AF109" s="237"/>
      <c r="AG109" s="237"/>
      <c r="AH109" s="237"/>
      <c r="AI109" s="237"/>
      <c r="AJ109" s="237"/>
      <c r="AK109" s="237"/>
      <c r="AL109" s="237"/>
      <c r="AM109" s="237"/>
      <c r="AN109" s="237"/>
    </row>
    <row r="110" spans="1:43" x14ac:dyDescent="0.25">
      <c r="AC110" s="237"/>
      <c r="AD110" s="237"/>
      <c r="AF110" s="237"/>
      <c r="AG110" s="237"/>
      <c r="AH110" s="237"/>
      <c r="AI110" s="237"/>
      <c r="AJ110" s="237"/>
      <c r="AK110" s="237"/>
      <c r="AL110" s="237"/>
      <c r="AM110" s="237"/>
      <c r="AN110" s="237"/>
    </row>
    <row r="111" spans="1:43" x14ac:dyDescent="0.25">
      <c r="AF111" s="237"/>
      <c r="AG111" s="237"/>
      <c r="AH111" s="237"/>
      <c r="AI111" s="237"/>
      <c r="AJ111" s="237"/>
      <c r="AK111" s="237"/>
      <c r="AL111" s="237"/>
      <c r="AM111" s="237"/>
      <c r="AN111" s="237"/>
    </row>
    <row r="112" spans="1:43" x14ac:dyDescent="0.25">
      <c r="AF112" s="237"/>
      <c r="AG112" s="237"/>
      <c r="AH112" s="237"/>
      <c r="AI112" s="237"/>
      <c r="AJ112" s="237"/>
      <c r="AK112" s="237"/>
      <c r="AL112" s="237"/>
      <c r="AM112" s="237"/>
      <c r="AN112" s="237"/>
    </row>
    <row r="113" spans="32:40" x14ac:dyDescent="0.25">
      <c r="AF113" s="237"/>
      <c r="AG113" s="237"/>
      <c r="AH113" s="237"/>
      <c r="AI113" s="237"/>
      <c r="AJ113" s="237"/>
      <c r="AK113" s="237"/>
      <c r="AL113" s="237"/>
      <c r="AM113" s="237"/>
      <c r="AN113" s="237"/>
    </row>
    <row r="114" spans="32:40" x14ac:dyDescent="0.25">
      <c r="AF114" s="237"/>
      <c r="AG114" s="237"/>
      <c r="AH114" s="237"/>
      <c r="AI114" s="237"/>
      <c r="AJ114" s="237"/>
      <c r="AK114" s="237"/>
      <c r="AL114" s="237"/>
      <c r="AM114" s="237"/>
      <c r="AN114" s="237"/>
    </row>
    <row r="115" spans="32:40" x14ac:dyDescent="0.25">
      <c r="AF115" s="237"/>
      <c r="AG115" s="237"/>
      <c r="AH115" s="237"/>
      <c r="AI115" s="237"/>
      <c r="AJ115" s="237"/>
      <c r="AK115" s="237"/>
      <c r="AL115" s="237"/>
      <c r="AM115" s="237"/>
      <c r="AN115" s="237"/>
    </row>
    <row r="116" spans="32:40" x14ac:dyDescent="0.25">
      <c r="AF116" s="237"/>
      <c r="AG116" s="237"/>
      <c r="AH116" s="237"/>
      <c r="AI116" s="237"/>
      <c r="AJ116" s="237"/>
      <c r="AK116" s="237"/>
      <c r="AL116" s="237"/>
      <c r="AM116" s="237"/>
      <c r="AN116" s="237"/>
    </row>
    <row r="117" spans="32:40" x14ac:dyDescent="0.25">
      <c r="AF117" s="237"/>
      <c r="AG117" s="237"/>
      <c r="AH117" s="237"/>
      <c r="AI117" s="237"/>
      <c r="AJ117" s="237"/>
      <c r="AK117" s="237"/>
      <c r="AL117" s="237"/>
      <c r="AM117" s="237"/>
      <c r="AN117" s="237"/>
    </row>
    <row r="118" spans="32:40" x14ac:dyDescent="0.25">
      <c r="AF118" s="237"/>
      <c r="AG118" s="237"/>
      <c r="AH118" s="237"/>
      <c r="AI118" s="237"/>
      <c r="AJ118" s="237"/>
      <c r="AK118" s="237"/>
      <c r="AL118" s="237"/>
      <c r="AM118" s="237"/>
      <c r="AN118" s="237"/>
    </row>
    <row r="119" spans="32:40" x14ac:dyDescent="0.25">
      <c r="AF119" s="237"/>
      <c r="AG119" s="237"/>
      <c r="AH119" s="237"/>
      <c r="AI119" s="237"/>
      <c r="AJ119" s="237"/>
      <c r="AK119" s="237"/>
      <c r="AL119" s="237"/>
      <c r="AM119" s="237"/>
      <c r="AN119" s="237"/>
    </row>
    <row r="120" spans="32:40" x14ac:dyDescent="0.25">
      <c r="AF120" s="237"/>
      <c r="AG120" s="237"/>
      <c r="AH120" s="237"/>
      <c r="AI120" s="237"/>
      <c r="AJ120" s="237"/>
      <c r="AK120" s="237"/>
      <c r="AL120" s="237"/>
      <c r="AM120" s="237"/>
      <c r="AN120" s="237"/>
    </row>
    <row r="121" spans="32:40" x14ac:dyDescent="0.25">
      <c r="AF121" s="237"/>
      <c r="AG121" s="237"/>
      <c r="AH121" s="237"/>
      <c r="AI121" s="237"/>
      <c r="AJ121" s="237"/>
      <c r="AK121" s="237"/>
      <c r="AL121" s="237"/>
      <c r="AM121" s="237"/>
      <c r="AN121" s="237"/>
    </row>
    <row r="122" spans="32:40" x14ac:dyDescent="0.25">
      <c r="AF122" s="237"/>
      <c r="AG122" s="237"/>
      <c r="AH122" s="237"/>
      <c r="AI122" s="237"/>
      <c r="AJ122" s="237"/>
      <c r="AK122" s="237"/>
      <c r="AL122" s="237"/>
      <c r="AM122" s="237"/>
      <c r="AN122" s="237"/>
    </row>
    <row r="123" spans="32:40" x14ac:dyDescent="0.25">
      <c r="AF123" s="237"/>
      <c r="AG123" s="237"/>
      <c r="AH123" s="237"/>
      <c r="AI123" s="237"/>
      <c r="AJ123" s="237"/>
      <c r="AK123" s="237"/>
      <c r="AL123" s="237"/>
      <c r="AM123" s="237"/>
      <c r="AN123" s="237"/>
    </row>
    <row r="124" spans="32:40" x14ac:dyDescent="0.25">
      <c r="AF124" s="237"/>
      <c r="AG124" s="237"/>
      <c r="AH124" s="237"/>
      <c r="AI124" s="237"/>
      <c r="AJ124" s="237"/>
      <c r="AK124" s="237"/>
      <c r="AL124" s="237"/>
      <c r="AM124" s="237"/>
      <c r="AN124" s="237"/>
    </row>
    <row r="125" spans="32:40" x14ac:dyDescent="0.25">
      <c r="AF125" s="237"/>
      <c r="AG125" s="237"/>
      <c r="AH125" s="237"/>
      <c r="AI125" s="237"/>
      <c r="AJ125" s="237"/>
      <c r="AK125" s="237"/>
      <c r="AL125" s="237"/>
      <c r="AM125" s="237"/>
      <c r="AN125" s="237"/>
    </row>
    <row r="126" spans="32:40" x14ac:dyDescent="0.25">
      <c r="AF126" s="237"/>
      <c r="AG126" s="237"/>
      <c r="AH126" s="237"/>
      <c r="AI126" s="237"/>
      <c r="AJ126" s="237"/>
      <c r="AK126" s="237"/>
      <c r="AL126" s="237"/>
      <c r="AM126" s="237"/>
      <c r="AN126" s="237"/>
    </row>
    <row r="127" spans="32:40" x14ac:dyDescent="0.25">
      <c r="AF127" s="237"/>
      <c r="AG127" s="237"/>
      <c r="AH127" s="237"/>
      <c r="AI127" s="237"/>
      <c r="AJ127" s="237"/>
      <c r="AK127" s="237"/>
      <c r="AL127" s="237"/>
      <c r="AM127" s="237"/>
      <c r="AN127" s="237"/>
    </row>
    <row r="128" spans="32:40" x14ac:dyDescent="0.25">
      <c r="AF128" s="237"/>
      <c r="AG128" s="237"/>
      <c r="AH128" s="237"/>
      <c r="AI128" s="237"/>
      <c r="AJ128" s="237"/>
      <c r="AK128" s="237"/>
      <c r="AL128" s="237"/>
      <c r="AM128" s="237"/>
      <c r="AN128" s="237"/>
    </row>
    <row r="129" spans="32:40" x14ac:dyDescent="0.25">
      <c r="AF129" s="237"/>
      <c r="AG129" s="237"/>
      <c r="AH129" s="237"/>
      <c r="AI129" s="237"/>
      <c r="AJ129" s="237"/>
      <c r="AK129" s="237"/>
      <c r="AL129" s="237"/>
      <c r="AM129" s="237"/>
      <c r="AN129" s="237"/>
    </row>
    <row r="130" spans="32:40" x14ac:dyDescent="0.25">
      <c r="AF130" s="237"/>
      <c r="AG130" s="237"/>
      <c r="AH130" s="237"/>
      <c r="AI130" s="237"/>
      <c r="AJ130" s="237"/>
      <c r="AK130" s="237"/>
      <c r="AL130" s="237"/>
      <c r="AM130" s="237"/>
      <c r="AN130" s="237"/>
    </row>
    <row r="131" spans="32:40" x14ac:dyDescent="0.25">
      <c r="AF131" s="237"/>
      <c r="AG131" s="237"/>
      <c r="AH131" s="237"/>
      <c r="AI131" s="237"/>
      <c r="AJ131" s="237"/>
      <c r="AK131" s="237"/>
      <c r="AL131" s="237"/>
      <c r="AM131" s="237"/>
      <c r="AN131" s="237"/>
    </row>
    <row r="132" spans="32:40" x14ac:dyDescent="0.25">
      <c r="AF132" s="237"/>
      <c r="AG132" s="237"/>
      <c r="AH132" s="237"/>
      <c r="AI132" s="237"/>
      <c r="AJ132" s="237"/>
      <c r="AK132" s="237"/>
      <c r="AL132" s="237"/>
      <c r="AM132" s="237"/>
      <c r="AN132" s="237"/>
    </row>
    <row r="133" spans="32:40" x14ac:dyDescent="0.25">
      <c r="AF133" s="237"/>
      <c r="AG133" s="237"/>
      <c r="AH133" s="237"/>
      <c r="AI133" s="237"/>
      <c r="AJ133" s="237"/>
      <c r="AK133" s="237"/>
      <c r="AL133" s="237"/>
      <c r="AM133" s="237"/>
      <c r="AN133" s="237"/>
    </row>
    <row r="134" spans="32:40" x14ac:dyDescent="0.25">
      <c r="AF134" s="237"/>
      <c r="AG134" s="237"/>
      <c r="AH134" s="237"/>
      <c r="AI134" s="237"/>
      <c r="AJ134" s="237"/>
      <c r="AK134" s="237"/>
      <c r="AL134" s="237"/>
      <c r="AM134" s="237"/>
      <c r="AN134" s="237"/>
    </row>
    <row r="135" spans="32:40" x14ac:dyDescent="0.25">
      <c r="AF135" s="237"/>
      <c r="AG135" s="237"/>
      <c r="AH135" s="237"/>
      <c r="AI135" s="237"/>
      <c r="AJ135" s="237"/>
      <c r="AK135" s="237"/>
      <c r="AL135" s="237"/>
      <c r="AM135" s="237"/>
      <c r="AN135" s="237"/>
    </row>
    <row r="136" spans="32:40" x14ac:dyDescent="0.25">
      <c r="AF136" s="237"/>
      <c r="AG136" s="237"/>
      <c r="AH136" s="237"/>
      <c r="AI136" s="237"/>
      <c r="AJ136" s="237"/>
      <c r="AK136" s="237"/>
      <c r="AL136" s="237"/>
      <c r="AM136" s="237"/>
      <c r="AN136" s="237"/>
    </row>
    <row r="137" spans="32:40" x14ac:dyDescent="0.25">
      <c r="AF137" s="237"/>
      <c r="AG137" s="237"/>
      <c r="AH137" s="237"/>
      <c r="AI137" s="237"/>
      <c r="AJ137" s="237"/>
      <c r="AK137" s="237"/>
      <c r="AL137" s="237"/>
      <c r="AM137" s="237"/>
      <c r="AN137" s="237"/>
    </row>
    <row r="138" spans="32:40" x14ac:dyDescent="0.25">
      <c r="AF138" s="237"/>
      <c r="AG138" s="237"/>
      <c r="AH138" s="237"/>
      <c r="AI138" s="237"/>
      <c r="AJ138" s="237"/>
      <c r="AK138" s="237"/>
      <c r="AL138" s="237"/>
      <c r="AM138" s="237"/>
      <c r="AN138" s="237"/>
    </row>
    <row r="139" spans="32:40" x14ac:dyDescent="0.25">
      <c r="AF139" s="237"/>
      <c r="AG139" s="237"/>
      <c r="AH139" s="237"/>
      <c r="AI139" s="237"/>
      <c r="AJ139" s="237"/>
      <c r="AK139" s="237"/>
      <c r="AL139" s="237"/>
      <c r="AM139" s="237"/>
      <c r="AN139" s="237"/>
    </row>
    <row r="140" spans="32:40" x14ac:dyDescent="0.25">
      <c r="AF140" s="237"/>
      <c r="AG140" s="237"/>
      <c r="AH140" s="237"/>
      <c r="AI140" s="237"/>
      <c r="AJ140" s="237"/>
      <c r="AK140" s="237"/>
      <c r="AL140" s="237"/>
      <c r="AM140" s="237"/>
      <c r="AN140" s="237"/>
    </row>
    <row r="141" spans="32:40" x14ac:dyDescent="0.25">
      <c r="AF141" s="237"/>
      <c r="AG141" s="237"/>
      <c r="AH141" s="237"/>
      <c r="AI141" s="237"/>
      <c r="AJ141" s="237"/>
      <c r="AK141" s="237"/>
      <c r="AL141" s="237"/>
      <c r="AM141" s="237"/>
      <c r="AN141" s="237"/>
    </row>
    <row r="142" spans="32:40" x14ac:dyDescent="0.25">
      <c r="AF142" s="237"/>
      <c r="AG142" s="237"/>
      <c r="AH142" s="237"/>
      <c r="AI142" s="237"/>
      <c r="AJ142" s="237"/>
      <c r="AK142" s="237"/>
      <c r="AL142" s="237"/>
      <c r="AM142" s="237"/>
      <c r="AN142" s="237"/>
    </row>
    <row r="143" spans="32:40" x14ac:dyDescent="0.25">
      <c r="AF143" s="237"/>
      <c r="AG143" s="237"/>
      <c r="AH143" s="237"/>
      <c r="AI143" s="237"/>
      <c r="AJ143" s="237"/>
      <c r="AK143" s="237"/>
      <c r="AL143" s="237"/>
      <c r="AM143" s="237"/>
      <c r="AN143" s="237"/>
    </row>
    <row r="144" spans="32:40" x14ac:dyDescent="0.25">
      <c r="AF144" s="237"/>
      <c r="AG144" s="237"/>
      <c r="AH144" s="237"/>
      <c r="AI144" s="237"/>
      <c r="AJ144" s="237"/>
      <c r="AK144" s="237"/>
      <c r="AL144" s="237"/>
      <c r="AM144" s="237"/>
      <c r="AN144" s="237"/>
    </row>
    <row r="145" spans="32:40" x14ac:dyDescent="0.25">
      <c r="AF145" s="237"/>
      <c r="AG145" s="237"/>
      <c r="AH145" s="237"/>
      <c r="AI145" s="237"/>
      <c r="AJ145" s="237"/>
      <c r="AK145" s="237"/>
      <c r="AL145" s="237"/>
      <c r="AM145" s="237"/>
      <c r="AN145" s="237"/>
    </row>
    <row r="146" spans="32:40" x14ac:dyDescent="0.25">
      <c r="AF146" s="237"/>
      <c r="AG146" s="237"/>
      <c r="AH146" s="237"/>
      <c r="AI146" s="237"/>
      <c r="AJ146" s="237"/>
      <c r="AK146" s="237"/>
      <c r="AL146" s="237"/>
      <c r="AM146" s="237"/>
      <c r="AN146" s="237"/>
    </row>
    <row r="147" spans="32:40" x14ac:dyDescent="0.25">
      <c r="AF147" s="237"/>
      <c r="AG147" s="237"/>
      <c r="AH147" s="237"/>
      <c r="AI147" s="237"/>
      <c r="AJ147" s="237"/>
      <c r="AK147" s="237"/>
      <c r="AL147" s="237"/>
      <c r="AM147" s="237"/>
      <c r="AN147" s="237"/>
    </row>
    <row r="148" spans="32:40" x14ac:dyDescent="0.25">
      <c r="AF148" s="237"/>
      <c r="AG148" s="237"/>
      <c r="AH148" s="237"/>
      <c r="AI148" s="237"/>
      <c r="AJ148" s="237"/>
      <c r="AK148" s="237"/>
      <c r="AL148" s="237"/>
      <c r="AM148" s="237"/>
      <c r="AN148" s="237"/>
    </row>
    <row r="149" spans="32:40" x14ac:dyDescent="0.25">
      <c r="AF149" s="237"/>
      <c r="AG149" s="237"/>
      <c r="AH149" s="237"/>
      <c r="AI149" s="237"/>
      <c r="AJ149" s="237"/>
      <c r="AK149" s="237"/>
      <c r="AL149" s="237"/>
      <c r="AM149" s="237"/>
      <c r="AN149" s="237"/>
    </row>
    <row r="150" spans="32:40" x14ac:dyDescent="0.25">
      <c r="AF150" s="237"/>
      <c r="AG150" s="237"/>
      <c r="AH150" s="237"/>
      <c r="AI150" s="237"/>
      <c r="AJ150" s="237"/>
      <c r="AK150" s="237"/>
      <c r="AL150" s="237"/>
      <c r="AM150" s="237"/>
      <c r="AN150" s="237"/>
    </row>
    <row r="151" spans="32:40" x14ac:dyDescent="0.25">
      <c r="AF151" s="237"/>
      <c r="AG151" s="237"/>
      <c r="AH151" s="237"/>
      <c r="AI151" s="237"/>
      <c r="AJ151" s="237"/>
      <c r="AK151" s="237"/>
      <c r="AL151" s="237"/>
      <c r="AM151" s="237"/>
      <c r="AN151" s="237"/>
    </row>
    <row r="152" spans="32:40" x14ac:dyDescent="0.25">
      <c r="AF152" s="237"/>
      <c r="AG152" s="237"/>
      <c r="AH152" s="237"/>
      <c r="AI152" s="237"/>
      <c r="AJ152" s="237"/>
      <c r="AK152" s="237"/>
      <c r="AL152" s="237"/>
      <c r="AM152" s="237"/>
      <c r="AN152" s="237"/>
    </row>
    <row r="153" spans="32:40" x14ac:dyDescent="0.25">
      <c r="AF153" s="237"/>
      <c r="AG153" s="237"/>
      <c r="AH153" s="237"/>
      <c r="AI153" s="237"/>
      <c r="AJ153" s="237"/>
      <c r="AK153" s="237"/>
      <c r="AL153" s="237"/>
      <c r="AM153" s="237"/>
      <c r="AN153" s="237"/>
    </row>
    <row r="154" spans="32:40" x14ac:dyDescent="0.25">
      <c r="AF154" s="237"/>
      <c r="AG154" s="237"/>
      <c r="AH154" s="237"/>
      <c r="AI154" s="237"/>
      <c r="AJ154" s="237"/>
      <c r="AK154" s="237"/>
      <c r="AL154" s="237"/>
      <c r="AM154" s="237"/>
      <c r="AN154" s="237"/>
    </row>
    <row r="155" spans="32:40" x14ac:dyDescent="0.25">
      <c r="AF155" s="237"/>
      <c r="AG155" s="237"/>
      <c r="AH155" s="237"/>
      <c r="AI155" s="237"/>
      <c r="AJ155" s="237"/>
      <c r="AK155" s="237"/>
      <c r="AL155" s="237"/>
      <c r="AM155" s="237"/>
      <c r="AN155" s="237"/>
    </row>
    <row r="156" spans="32:40" x14ac:dyDescent="0.25">
      <c r="AF156" s="237"/>
      <c r="AG156" s="237"/>
      <c r="AH156" s="237"/>
      <c r="AI156" s="237"/>
      <c r="AJ156" s="237"/>
      <c r="AK156" s="237"/>
      <c r="AL156" s="237"/>
      <c r="AM156" s="237"/>
      <c r="AN156" s="237"/>
    </row>
    <row r="157" spans="32:40" x14ac:dyDescent="0.25">
      <c r="AF157" s="237"/>
      <c r="AG157" s="237"/>
      <c r="AH157" s="237"/>
      <c r="AI157" s="237"/>
      <c r="AJ157" s="237"/>
      <c r="AK157" s="237"/>
      <c r="AL157" s="237"/>
      <c r="AM157" s="237"/>
      <c r="AN157" s="237"/>
    </row>
    <row r="158" spans="32:40" x14ac:dyDescent="0.25">
      <c r="AF158" s="237"/>
      <c r="AG158" s="237"/>
      <c r="AH158" s="237"/>
      <c r="AI158" s="237"/>
      <c r="AJ158" s="237"/>
      <c r="AK158" s="237"/>
      <c r="AL158" s="237"/>
      <c r="AM158" s="237"/>
      <c r="AN158" s="237"/>
    </row>
    <row r="159" spans="32:40" x14ac:dyDescent="0.25">
      <c r="AF159" s="237"/>
      <c r="AG159" s="237"/>
      <c r="AH159" s="237"/>
      <c r="AI159" s="237"/>
      <c r="AJ159" s="237"/>
      <c r="AK159" s="237"/>
      <c r="AL159" s="237"/>
      <c r="AM159" s="237"/>
      <c r="AN159" s="237"/>
    </row>
    <row r="160" spans="32:40" x14ac:dyDescent="0.25">
      <c r="AF160" s="237"/>
      <c r="AG160" s="237"/>
      <c r="AH160" s="237"/>
      <c r="AI160" s="237"/>
      <c r="AJ160" s="237"/>
      <c r="AK160" s="237"/>
      <c r="AL160" s="237"/>
      <c r="AM160" s="237"/>
      <c r="AN160" s="237"/>
    </row>
    <row r="161" spans="32:40" x14ac:dyDescent="0.25">
      <c r="AF161" s="237"/>
      <c r="AG161" s="237"/>
      <c r="AH161" s="237"/>
      <c r="AI161" s="237"/>
      <c r="AJ161" s="237"/>
      <c r="AK161" s="237"/>
      <c r="AL161" s="237"/>
      <c r="AM161" s="237"/>
      <c r="AN161" s="237"/>
    </row>
    <row r="162" spans="32:40" x14ac:dyDescent="0.25">
      <c r="AF162" s="237"/>
      <c r="AG162" s="237"/>
      <c r="AH162" s="237"/>
      <c r="AI162" s="237"/>
      <c r="AJ162" s="237"/>
      <c r="AK162" s="237"/>
      <c r="AL162" s="237"/>
      <c r="AM162" s="237"/>
      <c r="AN162" s="237"/>
    </row>
    <row r="163" spans="32:40" x14ac:dyDescent="0.25">
      <c r="AF163" s="237"/>
      <c r="AG163" s="237"/>
      <c r="AH163" s="237"/>
      <c r="AI163" s="237"/>
      <c r="AJ163" s="237"/>
      <c r="AK163" s="237"/>
      <c r="AL163" s="237"/>
      <c r="AM163" s="237"/>
      <c r="AN163" s="237"/>
    </row>
    <row r="164" spans="32:40" x14ac:dyDescent="0.25">
      <c r="AF164" s="237"/>
      <c r="AG164" s="237"/>
      <c r="AH164" s="237"/>
      <c r="AI164" s="237"/>
      <c r="AJ164" s="237"/>
      <c r="AK164" s="237"/>
      <c r="AL164" s="237"/>
      <c r="AM164" s="237"/>
      <c r="AN164" s="237"/>
    </row>
    <row r="165" spans="32:40" x14ac:dyDescent="0.25">
      <c r="AF165" s="237"/>
      <c r="AG165" s="237"/>
      <c r="AH165" s="237"/>
      <c r="AI165" s="237"/>
      <c r="AJ165" s="237"/>
      <c r="AK165" s="237"/>
      <c r="AL165" s="237"/>
      <c r="AM165" s="237"/>
      <c r="AN165" s="237"/>
    </row>
    <row r="166" spans="32:40" x14ac:dyDescent="0.25">
      <c r="AF166" s="237"/>
      <c r="AG166" s="237"/>
      <c r="AH166" s="237"/>
      <c r="AI166" s="237"/>
      <c r="AJ166" s="237"/>
      <c r="AK166" s="237"/>
      <c r="AL166" s="237"/>
      <c r="AM166" s="237"/>
      <c r="AN166" s="237"/>
    </row>
    <row r="167" spans="32:40" x14ac:dyDescent="0.25">
      <c r="AF167" s="237"/>
      <c r="AG167" s="237"/>
      <c r="AH167" s="237"/>
      <c r="AI167" s="237"/>
      <c r="AJ167" s="237"/>
      <c r="AK167" s="237"/>
      <c r="AL167" s="237"/>
      <c r="AM167" s="237"/>
      <c r="AN167" s="237"/>
    </row>
    <row r="168" spans="32:40" x14ac:dyDescent="0.25">
      <c r="AF168" s="237"/>
      <c r="AG168" s="237"/>
      <c r="AH168" s="237"/>
      <c r="AI168" s="237"/>
      <c r="AJ168" s="237"/>
      <c r="AK168" s="237"/>
      <c r="AL168" s="237"/>
      <c r="AM168" s="237"/>
      <c r="AN168" s="237"/>
    </row>
    <row r="169" spans="32:40" x14ac:dyDescent="0.25">
      <c r="AF169" s="237"/>
      <c r="AG169" s="237"/>
      <c r="AH169" s="237"/>
      <c r="AI169" s="237"/>
      <c r="AJ169" s="237"/>
      <c r="AK169" s="237"/>
      <c r="AL169" s="237"/>
      <c r="AM169" s="237"/>
      <c r="AN169" s="237"/>
    </row>
    <row r="170" spans="32:40" x14ac:dyDescent="0.25">
      <c r="AF170" s="237"/>
      <c r="AG170" s="237"/>
      <c r="AH170" s="237"/>
      <c r="AI170" s="237"/>
      <c r="AJ170" s="237"/>
      <c r="AK170" s="237"/>
      <c r="AL170" s="237"/>
      <c r="AM170" s="237"/>
      <c r="AN170" s="237"/>
    </row>
    <row r="171" spans="32:40" x14ac:dyDescent="0.25">
      <c r="AF171" s="237"/>
      <c r="AG171" s="237"/>
      <c r="AH171" s="237"/>
      <c r="AI171" s="237"/>
      <c r="AJ171" s="237"/>
      <c r="AK171" s="237"/>
      <c r="AL171" s="237"/>
      <c r="AM171" s="237"/>
      <c r="AN171" s="237"/>
    </row>
    <row r="172" spans="32:40" x14ac:dyDescent="0.25">
      <c r="AF172" s="237"/>
      <c r="AG172" s="237"/>
      <c r="AH172" s="237"/>
      <c r="AI172" s="237"/>
      <c r="AJ172" s="237"/>
      <c r="AK172" s="237"/>
      <c r="AL172" s="237"/>
      <c r="AM172" s="237"/>
      <c r="AN172" s="237"/>
    </row>
    <row r="173" spans="32:40" x14ac:dyDescent="0.25">
      <c r="AF173" s="237"/>
      <c r="AG173" s="237"/>
      <c r="AH173" s="237"/>
      <c r="AI173" s="237"/>
      <c r="AJ173" s="237"/>
      <c r="AK173" s="237"/>
      <c r="AL173" s="237"/>
      <c r="AM173" s="237"/>
      <c r="AN173" s="237"/>
    </row>
    <row r="174" spans="32:40" x14ac:dyDescent="0.25">
      <c r="AF174" s="237"/>
      <c r="AG174" s="237"/>
      <c r="AH174" s="237"/>
      <c r="AI174" s="237"/>
      <c r="AJ174" s="237"/>
      <c r="AK174" s="237"/>
      <c r="AL174" s="237"/>
      <c r="AM174" s="237"/>
      <c r="AN174" s="237"/>
    </row>
    <row r="175" spans="32:40" x14ac:dyDescent="0.25">
      <c r="AF175" s="237"/>
      <c r="AG175" s="237"/>
      <c r="AH175" s="237"/>
      <c r="AI175" s="237"/>
      <c r="AJ175" s="237"/>
      <c r="AK175" s="237"/>
      <c r="AL175" s="237"/>
      <c r="AM175" s="237"/>
      <c r="AN175" s="237"/>
    </row>
    <row r="176" spans="32:40" x14ac:dyDescent="0.25">
      <c r="AF176" s="237"/>
      <c r="AG176" s="237"/>
      <c r="AH176" s="237"/>
      <c r="AI176" s="237"/>
      <c r="AJ176" s="237"/>
      <c r="AK176" s="237"/>
      <c r="AL176" s="237"/>
      <c r="AM176" s="237"/>
      <c r="AN176" s="237"/>
    </row>
    <row r="177" spans="32:40" x14ac:dyDescent="0.25">
      <c r="AF177" s="237"/>
      <c r="AG177" s="237"/>
      <c r="AH177" s="237"/>
      <c r="AI177" s="237"/>
      <c r="AJ177" s="237"/>
      <c r="AK177" s="237"/>
      <c r="AL177" s="237"/>
      <c r="AM177" s="237"/>
      <c r="AN177" s="237"/>
    </row>
    <row r="178" spans="32:40" x14ac:dyDescent="0.25">
      <c r="AF178" s="237"/>
      <c r="AG178" s="237"/>
      <c r="AH178" s="237"/>
      <c r="AI178" s="237"/>
      <c r="AJ178" s="237"/>
      <c r="AK178" s="237"/>
      <c r="AL178" s="237"/>
      <c r="AM178" s="237"/>
      <c r="AN178" s="237"/>
    </row>
    <row r="179" spans="32:40" x14ac:dyDescent="0.25">
      <c r="AF179" s="237"/>
      <c r="AG179" s="237"/>
      <c r="AH179" s="237"/>
      <c r="AI179" s="237"/>
      <c r="AJ179" s="237"/>
      <c r="AK179" s="237"/>
      <c r="AL179" s="237"/>
      <c r="AM179" s="237"/>
      <c r="AN179" s="237"/>
    </row>
    <row r="180" spans="32:40" x14ac:dyDescent="0.25">
      <c r="AF180" s="237"/>
      <c r="AG180" s="237"/>
      <c r="AH180" s="237"/>
      <c r="AI180" s="237"/>
      <c r="AJ180" s="237"/>
      <c r="AK180" s="237"/>
      <c r="AL180" s="237"/>
      <c r="AM180" s="237"/>
      <c r="AN180" s="237"/>
    </row>
    <row r="181" spans="32:40" x14ac:dyDescent="0.25">
      <c r="AF181" s="237"/>
      <c r="AG181" s="237"/>
      <c r="AH181" s="237"/>
      <c r="AI181" s="237"/>
      <c r="AJ181" s="237"/>
      <c r="AK181" s="237"/>
      <c r="AL181" s="237"/>
      <c r="AM181" s="237"/>
      <c r="AN181" s="237"/>
    </row>
    <row r="182" spans="32:40" x14ac:dyDescent="0.25">
      <c r="AF182" s="237"/>
      <c r="AG182" s="237"/>
      <c r="AH182" s="237"/>
      <c r="AI182" s="237"/>
      <c r="AJ182" s="237"/>
      <c r="AK182" s="237"/>
      <c r="AL182" s="237"/>
      <c r="AM182" s="237"/>
      <c r="AN182" s="237"/>
    </row>
    <row r="183" spans="32:40" x14ac:dyDescent="0.25">
      <c r="AF183" s="237"/>
    </row>
    <row r="184" spans="32:40" x14ac:dyDescent="0.25">
      <c r="AF184" s="237"/>
    </row>
    <row r="185" spans="32:40" x14ac:dyDescent="0.25">
      <c r="AF185" s="237"/>
    </row>
    <row r="186" spans="32:40" x14ac:dyDescent="0.25">
      <c r="AF186" s="237"/>
    </row>
    <row r="187" spans="32:40" x14ac:dyDescent="0.25">
      <c r="AF187" s="237"/>
    </row>
    <row r="188" spans="32:40" x14ac:dyDescent="0.25">
      <c r="AF188" s="237"/>
    </row>
    <row r="189" spans="32:40" x14ac:dyDescent="0.25">
      <c r="AF189" s="237"/>
    </row>
    <row r="190" spans="32:40" x14ac:dyDescent="0.25">
      <c r="AF190" s="237"/>
    </row>
    <row r="191" spans="32:40" x14ac:dyDescent="0.25">
      <c r="AF191" s="237"/>
    </row>
    <row r="192" spans="32:40" x14ac:dyDescent="0.25">
      <c r="AF192" s="237"/>
    </row>
    <row r="193" spans="32:32" x14ac:dyDescent="0.25">
      <c r="AF193" s="237"/>
    </row>
    <row r="194" spans="32:32" x14ac:dyDescent="0.25">
      <c r="AF194" s="237"/>
    </row>
    <row r="195" spans="32:32" x14ac:dyDescent="0.25">
      <c r="AF195" s="237"/>
    </row>
    <row r="196" spans="32:32" x14ac:dyDescent="0.25">
      <c r="AF196" s="237"/>
    </row>
    <row r="197" spans="32:32" x14ac:dyDescent="0.25">
      <c r="AF197" s="237"/>
    </row>
    <row r="198" spans="32:32" x14ac:dyDescent="0.25">
      <c r="AF198" s="237"/>
    </row>
    <row r="199" spans="32:32" x14ac:dyDescent="0.25">
      <c r="AF199" s="237"/>
    </row>
    <row r="200" spans="32:32" x14ac:dyDescent="0.25">
      <c r="AF200" s="237"/>
    </row>
    <row r="201" spans="32:32" x14ac:dyDescent="0.25">
      <c r="AF201" s="237"/>
    </row>
    <row r="202" spans="32:32" x14ac:dyDescent="0.25">
      <c r="AF202" s="237"/>
    </row>
    <row r="203" spans="32:32" x14ac:dyDescent="0.25">
      <c r="AF203" s="237"/>
    </row>
    <row r="204" spans="32:32" x14ac:dyDescent="0.25">
      <c r="AF204" s="237"/>
    </row>
    <row r="205" spans="32:32" x14ac:dyDescent="0.25">
      <c r="AF205" s="237"/>
    </row>
    <row r="206" spans="32:32" x14ac:dyDescent="0.25">
      <c r="AF206" s="237"/>
    </row>
    <row r="207" spans="32:32" x14ac:dyDescent="0.25">
      <c r="AF207" s="237"/>
    </row>
    <row r="208" spans="32:32" x14ac:dyDescent="0.25">
      <c r="AF208" s="237"/>
    </row>
    <row r="209" spans="32:32" x14ac:dyDescent="0.25">
      <c r="AF209" s="237"/>
    </row>
    <row r="210" spans="32:32" x14ac:dyDescent="0.25">
      <c r="AF210" s="237"/>
    </row>
    <row r="211" spans="32:32" x14ac:dyDescent="0.25">
      <c r="AF211" s="237"/>
    </row>
    <row r="212" spans="32:32" x14ac:dyDescent="0.25">
      <c r="AF212" s="237"/>
    </row>
    <row r="213" spans="32:32" x14ac:dyDescent="0.25">
      <c r="AF213" s="237"/>
    </row>
    <row r="214" spans="32:32" x14ac:dyDescent="0.25">
      <c r="AF214" s="237"/>
    </row>
    <row r="215" spans="32:32" x14ac:dyDescent="0.25">
      <c r="AF215" s="237"/>
    </row>
    <row r="216" spans="32:32" x14ac:dyDescent="0.25">
      <c r="AF216" s="237"/>
    </row>
    <row r="217" spans="32:32" x14ac:dyDescent="0.25">
      <c r="AF217" s="237"/>
    </row>
    <row r="218" spans="32:32" x14ac:dyDescent="0.25">
      <c r="AF218" s="237"/>
    </row>
    <row r="219" spans="32:32" x14ac:dyDescent="0.25">
      <c r="AF219" s="237"/>
    </row>
    <row r="220" spans="32:32" x14ac:dyDescent="0.25">
      <c r="AF220" s="237"/>
    </row>
    <row r="221" spans="32:32" x14ac:dyDescent="0.25">
      <c r="AF221" s="237"/>
    </row>
    <row r="222" spans="32:32" x14ac:dyDescent="0.25">
      <c r="AF222" s="237"/>
    </row>
    <row r="223" spans="32:32" x14ac:dyDescent="0.25">
      <c r="AF223" s="237"/>
    </row>
    <row r="224" spans="32:32" x14ac:dyDescent="0.25">
      <c r="AF224" s="237"/>
    </row>
    <row r="225" spans="32:32" x14ac:dyDescent="0.25">
      <c r="AF225" s="237"/>
    </row>
    <row r="226" spans="32:32" x14ac:dyDescent="0.25">
      <c r="AF226" s="237"/>
    </row>
    <row r="227" spans="32:32" x14ac:dyDescent="0.25">
      <c r="AF227" s="237"/>
    </row>
    <row r="228" spans="32:32" x14ac:dyDescent="0.25">
      <c r="AF228" s="237"/>
    </row>
    <row r="229" spans="32:32" x14ac:dyDescent="0.25">
      <c r="AF229" s="237"/>
    </row>
    <row r="230" spans="32:32" x14ac:dyDescent="0.25">
      <c r="AF230" s="237"/>
    </row>
    <row r="231" spans="32:32" x14ac:dyDescent="0.25">
      <c r="AF231" s="237"/>
    </row>
    <row r="232" spans="32:32" x14ac:dyDescent="0.25">
      <c r="AF232" s="237"/>
    </row>
    <row r="233" spans="32:32" x14ac:dyDescent="0.25">
      <c r="AF233" s="237"/>
    </row>
    <row r="234" spans="32:32" x14ac:dyDescent="0.25">
      <c r="AF234" s="237"/>
    </row>
    <row r="235" spans="32:32" x14ac:dyDescent="0.25">
      <c r="AF235" s="237"/>
    </row>
    <row r="236" spans="32:32" x14ac:dyDescent="0.25">
      <c r="AF236" s="237"/>
    </row>
    <row r="237" spans="32:32" x14ac:dyDescent="0.25">
      <c r="AF237" s="237"/>
    </row>
    <row r="238" spans="32:32" x14ac:dyDescent="0.25">
      <c r="AF238" s="237"/>
    </row>
    <row r="239" spans="32:32" x14ac:dyDescent="0.25">
      <c r="AF239" s="237"/>
    </row>
    <row r="240" spans="32:32" x14ac:dyDescent="0.25">
      <c r="AF240" s="237"/>
    </row>
    <row r="241" spans="32:32" x14ac:dyDescent="0.25">
      <c r="AF241" s="237"/>
    </row>
    <row r="242" spans="32:32" x14ac:dyDescent="0.25">
      <c r="AF242" s="237"/>
    </row>
    <row r="243" spans="32:32" x14ac:dyDescent="0.25">
      <c r="AF243" s="237"/>
    </row>
    <row r="244" spans="32:32" x14ac:dyDescent="0.25">
      <c r="AF244" s="237"/>
    </row>
    <row r="245" spans="32:32" x14ac:dyDescent="0.25">
      <c r="AF245" s="237"/>
    </row>
    <row r="246" spans="32:32" x14ac:dyDescent="0.25">
      <c r="AF246" s="237"/>
    </row>
    <row r="247" spans="32:32" x14ac:dyDescent="0.25">
      <c r="AF247" s="237"/>
    </row>
    <row r="248" spans="32:32" x14ac:dyDescent="0.25">
      <c r="AF248" s="237"/>
    </row>
    <row r="249" spans="32:32" x14ac:dyDescent="0.25">
      <c r="AF249" s="237"/>
    </row>
    <row r="250" spans="32:32" x14ac:dyDescent="0.25">
      <c r="AF250" s="237"/>
    </row>
    <row r="251" spans="32:32" x14ac:dyDescent="0.25">
      <c r="AF251" s="237"/>
    </row>
    <row r="252" spans="32:32" x14ac:dyDescent="0.25">
      <c r="AF252" s="237"/>
    </row>
    <row r="253" spans="32:32" x14ac:dyDescent="0.25">
      <c r="AF253" s="237"/>
    </row>
    <row r="254" spans="32:32" x14ac:dyDescent="0.25">
      <c r="AF254" s="237"/>
    </row>
    <row r="255" spans="32:32" x14ac:dyDescent="0.25">
      <c r="AF255" s="237"/>
    </row>
    <row r="256" spans="32:32" x14ac:dyDescent="0.25">
      <c r="AF256" s="237"/>
    </row>
    <row r="257" spans="32:32" x14ac:dyDescent="0.25">
      <c r="AF257" s="237"/>
    </row>
    <row r="258" spans="32:32" x14ac:dyDescent="0.25">
      <c r="AF258" s="237"/>
    </row>
    <row r="259" spans="32:32" x14ac:dyDescent="0.25">
      <c r="AF259" s="237"/>
    </row>
    <row r="260" spans="32:32" x14ac:dyDescent="0.25">
      <c r="AF260" s="237"/>
    </row>
    <row r="261" spans="32:32" x14ac:dyDescent="0.25">
      <c r="AF261" s="237"/>
    </row>
    <row r="262" spans="32:32" x14ac:dyDescent="0.25">
      <c r="AF262" s="237"/>
    </row>
    <row r="263" spans="32:32" x14ac:dyDescent="0.25">
      <c r="AF263" s="237"/>
    </row>
    <row r="264" spans="32:32" x14ac:dyDescent="0.25">
      <c r="AF264" s="237"/>
    </row>
    <row r="265" spans="32:32" x14ac:dyDescent="0.25">
      <c r="AF265" s="237"/>
    </row>
    <row r="266" spans="32:32" x14ac:dyDescent="0.25">
      <c r="AF266" s="237"/>
    </row>
    <row r="267" spans="32:32" x14ac:dyDescent="0.25">
      <c r="AF267" s="237"/>
    </row>
    <row r="268" spans="32:32" x14ac:dyDescent="0.25">
      <c r="AF268" s="237"/>
    </row>
    <row r="269" spans="32:32" x14ac:dyDescent="0.25">
      <c r="AF269" s="237"/>
    </row>
    <row r="270" spans="32:32" x14ac:dyDescent="0.25">
      <c r="AF270" s="237"/>
    </row>
    <row r="271" spans="32:32" x14ac:dyDescent="0.25">
      <c r="AF271" s="237"/>
    </row>
    <row r="272" spans="32:32" x14ac:dyDescent="0.25">
      <c r="AF272" s="237"/>
    </row>
    <row r="273" spans="32:32" x14ac:dyDescent="0.25">
      <c r="AF273" s="237"/>
    </row>
    <row r="274" spans="32:32" x14ac:dyDescent="0.25">
      <c r="AF274" s="237"/>
    </row>
    <row r="275" spans="32:32" x14ac:dyDescent="0.25">
      <c r="AF275" s="237"/>
    </row>
    <row r="276" spans="32:32" x14ac:dyDescent="0.25">
      <c r="AF276" s="237"/>
    </row>
    <row r="277" spans="32:32" x14ac:dyDescent="0.25">
      <c r="AF277" s="237"/>
    </row>
    <row r="278" spans="32:32" x14ac:dyDescent="0.25">
      <c r="AF278" s="237"/>
    </row>
    <row r="279" spans="32:32" x14ac:dyDescent="0.25">
      <c r="AF279" s="237"/>
    </row>
    <row r="280" spans="32:32" x14ac:dyDescent="0.25">
      <c r="AF280" s="237"/>
    </row>
    <row r="281" spans="32:32" x14ac:dyDescent="0.25">
      <c r="AF281" s="237"/>
    </row>
    <row r="282" spans="32:32" x14ac:dyDescent="0.25">
      <c r="AF282" s="237"/>
    </row>
    <row r="283" spans="32:32" x14ac:dyDescent="0.25">
      <c r="AF283" s="237"/>
    </row>
    <row r="284" spans="32:32" x14ac:dyDescent="0.25">
      <c r="AF284" s="237"/>
    </row>
    <row r="285" spans="32:32" x14ac:dyDescent="0.25">
      <c r="AF285" s="237"/>
    </row>
    <row r="286" spans="32:32" x14ac:dyDescent="0.25">
      <c r="AF286" s="237"/>
    </row>
    <row r="287" spans="32:32" x14ac:dyDescent="0.25">
      <c r="AF287" s="237"/>
    </row>
    <row r="288" spans="32:32" x14ac:dyDescent="0.25">
      <c r="AF288" s="237"/>
    </row>
    <row r="289" spans="32:32" x14ac:dyDescent="0.25">
      <c r="AF289" s="237"/>
    </row>
    <row r="290" spans="32:32" x14ac:dyDescent="0.25">
      <c r="AF290" s="237"/>
    </row>
    <row r="291" spans="32:32" x14ac:dyDescent="0.25">
      <c r="AF291" s="237"/>
    </row>
    <row r="292" spans="32:32" x14ac:dyDescent="0.25">
      <c r="AF292" s="237"/>
    </row>
    <row r="293" spans="32:32" x14ac:dyDescent="0.25">
      <c r="AF293" s="237"/>
    </row>
    <row r="294" spans="32:32" x14ac:dyDescent="0.25">
      <c r="AF294" s="237"/>
    </row>
    <row r="295" spans="32:32" x14ac:dyDescent="0.25">
      <c r="AF295" s="237"/>
    </row>
    <row r="296" spans="32:32" x14ac:dyDescent="0.25">
      <c r="AF296" s="237"/>
    </row>
    <row r="297" spans="32:32" x14ac:dyDescent="0.25">
      <c r="AF297" s="237"/>
    </row>
    <row r="298" spans="32:32" x14ac:dyDescent="0.25">
      <c r="AF298" s="237"/>
    </row>
    <row r="299" spans="32:32" x14ac:dyDescent="0.25">
      <c r="AF299" s="237"/>
    </row>
    <row r="300" spans="32:32" x14ac:dyDescent="0.25">
      <c r="AF300" s="237"/>
    </row>
    <row r="301" spans="32:32" x14ac:dyDescent="0.25">
      <c r="AF301" s="237"/>
    </row>
    <row r="302" spans="32:32" x14ac:dyDescent="0.25">
      <c r="AF302" s="237"/>
    </row>
    <row r="303" spans="32:32" x14ac:dyDescent="0.25">
      <c r="AF303" s="237"/>
    </row>
    <row r="304" spans="32:32" x14ac:dyDescent="0.25">
      <c r="AF304" s="237"/>
    </row>
    <row r="305" spans="32:32" x14ac:dyDescent="0.25">
      <c r="AF305" s="237"/>
    </row>
    <row r="306" spans="32:32" x14ac:dyDescent="0.25">
      <c r="AF306" s="237"/>
    </row>
    <row r="307" spans="32:32" x14ac:dyDescent="0.25">
      <c r="AF307" s="237"/>
    </row>
    <row r="308" spans="32:32" x14ac:dyDescent="0.25">
      <c r="AF308" s="237"/>
    </row>
    <row r="309" spans="32:32" x14ac:dyDescent="0.25">
      <c r="AF309" s="237"/>
    </row>
    <row r="310" spans="32:32" x14ac:dyDescent="0.25">
      <c r="AF310" s="237"/>
    </row>
    <row r="311" spans="32:32" x14ac:dyDescent="0.25">
      <c r="AF311" s="237"/>
    </row>
    <row r="312" spans="32:32" x14ac:dyDescent="0.25">
      <c r="AF312" s="237"/>
    </row>
    <row r="313" spans="32:32" x14ac:dyDescent="0.25">
      <c r="AF313" s="237"/>
    </row>
    <row r="314" spans="32:32" x14ac:dyDescent="0.25">
      <c r="AF314" s="237"/>
    </row>
    <row r="315" spans="32:32" x14ac:dyDescent="0.25">
      <c r="AF315" s="237"/>
    </row>
    <row r="316" spans="32:32" x14ac:dyDescent="0.25">
      <c r="AF316" s="237"/>
    </row>
    <row r="317" spans="32:32" x14ac:dyDescent="0.25">
      <c r="AF317" s="237"/>
    </row>
    <row r="318" spans="32:32" x14ac:dyDescent="0.25">
      <c r="AF318" s="237"/>
    </row>
    <row r="319" spans="32:32" x14ac:dyDescent="0.25">
      <c r="AF319" s="237"/>
    </row>
    <row r="320" spans="32:32" x14ac:dyDescent="0.25">
      <c r="AF320" s="237"/>
    </row>
    <row r="321" spans="32:32" x14ac:dyDescent="0.25">
      <c r="AF321" s="237"/>
    </row>
    <row r="322" spans="32:32" x14ac:dyDescent="0.25">
      <c r="AF322" s="237"/>
    </row>
    <row r="323" spans="32:32" x14ac:dyDescent="0.25">
      <c r="AF323" s="237"/>
    </row>
    <row r="324" spans="32:32" x14ac:dyDescent="0.25">
      <c r="AF324" s="237"/>
    </row>
    <row r="325" spans="32:32" x14ac:dyDescent="0.25">
      <c r="AF325" s="237"/>
    </row>
    <row r="326" spans="32:32" x14ac:dyDescent="0.25">
      <c r="AF326" s="237"/>
    </row>
    <row r="327" spans="32:32" x14ac:dyDescent="0.25">
      <c r="AF327" s="237"/>
    </row>
    <row r="328" spans="32:32" x14ac:dyDescent="0.25">
      <c r="AF328" s="237"/>
    </row>
    <row r="329" spans="32:32" x14ac:dyDescent="0.25">
      <c r="AF329" s="237"/>
    </row>
    <row r="330" spans="32:32" x14ac:dyDescent="0.25">
      <c r="AF330" s="237"/>
    </row>
    <row r="331" spans="32:32" x14ac:dyDescent="0.25">
      <c r="AF331" s="237"/>
    </row>
    <row r="332" spans="32:32" x14ac:dyDescent="0.25">
      <c r="AF332" s="237"/>
    </row>
    <row r="333" spans="32:32" x14ac:dyDescent="0.25">
      <c r="AF333" s="237"/>
    </row>
    <row r="334" spans="32:32" x14ac:dyDescent="0.25">
      <c r="AF334" s="237"/>
    </row>
    <row r="335" spans="32:32" x14ac:dyDescent="0.25">
      <c r="AF335" s="237"/>
    </row>
    <row r="336" spans="32:32" x14ac:dyDescent="0.25">
      <c r="AF336" s="237"/>
    </row>
    <row r="337" spans="32:32" x14ac:dyDescent="0.25">
      <c r="AF337" s="237"/>
    </row>
    <row r="338" spans="32:32" x14ac:dyDescent="0.25">
      <c r="AF338" s="237"/>
    </row>
    <row r="339" spans="32:32" x14ac:dyDescent="0.25">
      <c r="AF339" s="237"/>
    </row>
    <row r="340" spans="32:32" x14ac:dyDescent="0.25">
      <c r="AF340" s="237"/>
    </row>
    <row r="341" spans="32:32" x14ac:dyDescent="0.25">
      <c r="AF341" s="237"/>
    </row>
    <row r="342" spans="32:32" x14ac:dyDescent="0.25">
      <c r="AF342" s="237"/>
    </row>
    <row r="343" spans="32:32" x14ac:dyDescent="0.25">
      <c r="AF343" s="237"/>
    </row>
    <row r="344" spans="32:32" x14ac:dyDescent="0.25">
      <c r="AF344" s="237"/>
    </row>
    <row r="345" spans="32:32" x14ac:dyDescent="0.25">
      <c r="AF345" s="237"/>
    </row>
    <row r="346" spans="32:32" x14ac:dyDescent="0.25">
      <c r="AF346" s="237"/>
    </row>
    <row r="347" spans="32:32" x14ac:dyDescent="0.25">
      <c r="AF347" s="237"/>
    </row>
    <row r="348" spans="32:32" x14ac:dyDescent="0.25">
      <c r="AF348" s="237"/>
    </row>
    <row r="349" spans="32:32" x14ac:dyDescent="0.25">
      <c r="AF349" s="237"/>
    </row>
    <row r="350" spans="32:32" x14ac:dyDescent="0.25">
      <c r="AF350" s="237"/>
    </row>
    <row r="351" spans="32:32" x14ac:dyDescent="0.25">
      <c r="AF351" s="237"/>
    </row>
    <row r="352" spans="32:32" x14ac:dyDescent="0.25">
      <c r="AF352" s="237"/>
    </row>
    <row r="353" spans="32:32" x14ac:dyDescent="0.25">
      <c r="AF353" s="237"/>
    </row>
    <row r="354" spans="32:32" x14ac:dyDescent="0.25">
      <c r="AF354" s="237"/>
    </row>
    <row r="355" spans="32:32" x14ac:dyDescent="0.25">
      <c r="AF355" s="237"/>
    </row>
    <row r="356" spans="32:32" x14ac:dyDescent="0.25">
      <c r="AF356" s="237"/>
    </row>
  </sheetData>
  <mergeCells count="262">
    <mergeCell ref="Q59:S59"/>
    <mergeCell ref="A56:F59"/>
    <mergeCell ref="I56:K56"/>
    <mergeCell ref="Q56:S56"/>
    <mergeCell ref="I57:K57"/>
    <mergeCell ref="Q57:S57"/>
    <mergeCell ref="G58:H58"/>
    <mergeCell ref="I58:K58"/>
    <mergeCell ref="Q58:S58"/>
    <mergeCell ref="G59:H59"/>
    <mergeCell ref="I59:K59"/>
    <mergeCell ref="G50:H50"/>
    <mergeCell ref="I50:K50"/>
    <mergeCell ref="Q50:S50"/>
    <mergeCell ref="G51:H51"/>
    <mergeCell ref="I51:K51"/>
    <mergeCell ref="Q51:S51"/>
    <mergeCell ref="U46:AA51"/>
    <mergeCell ref="A47:F47"/>
    <mergeCell ref="G47:H47"/>
    <mergeCell ref="I47:K47"/>
    <mergeCell ref="Q47:S47"/>
    <mergeCell ref="A48:F51"/>
    <mergeCell ref="I48:K48"/>
    <mergeCell ref="Q48:S48"/>
    <mergeCell ref="I49:K49"/>
    <mergeCell ref="Q49:S49"/>
    <mergeCell ref="A46:D46"/>
    <mergeCell ref="E46:S46"/>
    <mergeCell ref="A45:P45"/>
    <mergeCell ref="Q45:S45"/>
    <mergeCell ref="Q40:S40"/>
    <mergeCell ref="Q38:S38"/>
    <mergeCell ref="Q39:S39"/>
    <mergeCell ref="E37:G38"/>
    <mergeCell ref="H37:I38"/>
    <mergeCell ref="H43:I44"/>
    <mergeCell ref="E43:G44"/>
    <mergeCell ref="H41:I42"/>
    <mergeCell ref="E41:G42"/>
    <mergeCell ref="A43:D44"/>
    <mergeCell ref="J43:K43"/>
    <mergeCell ref="Q43:S43"/>
    <mergeCell ref="J44:K44"/>
    <mergeCell ref="Q44:S44"/>
    <mergeCell ref="A41:D42"/>
    <mergeCell ref="J41:K41"/>
    <mergeCell ref="Q41:S41"/>
    <mergeCell ref="J42:K42"/>
    <mergeCell ref="Q42:S42"/>
    <mergeCell ref="Q36:S36"/>
    <mergeCell ref="Q37:S37"/>
    <mergeCell ref="Q34:S34"/>
    <mergeCell ref="A39:D40"/>
    <mergeCell ref="J39:K39"/>
    <mergeCell ref="J40:K40"/>
    <mergeCell ref="A37:D38"/>
    <mergeCell ref="J37:K37"/>
    <mergeCell ref="J38:K38"/>
    <mergeCell ref="E39:G40"/>
    <mergeCell ref="H39:I40"/>
    <mergeCell ref="J33:K33"/>
    <mergeCell ref="A25:G25"/>
    <mergeCell ref="E26:G27"/>
    <mergeCell ref="E28:G29"/>
    <mergeCell ref="E30:G31"/>
    <mergeCell ref="Q35:S35"/>
    <mergeCell ref="Q33:S33"/>
    <mergeCell ref="A34:D35"/>
    <mergeCell ref="J34:K34"/>
    <mergeCell ref="J35:K35"/>
    <mergeCell ref="E32:G33"/>
    <mergeCell ref="E34:G35"/>
    <mergeCell ref="H32:I33"/>
    <mergeCell ref="H34:I35"/>
    <mergeCell ref="Q31:S31"/>
    <mergeCell ref="Q32:S32"/>
    <mergeCell ref="Q28:S28"/>
    <mergeCell ref="Q30:S30"/>
    <mergeCell ref="A32:D33"/>
    <mergeCell ref="J32:K32"/>
    <mergeCell ref="H25:I25"/>
    <mergeCell ref="J29:K29"/>
    <mergeCell ref="Q29:S29"/>
    <mergeCell ref="A30:D31"/>
    <mergeCell ref="J30:K30"/>
    <mergeCell ref="J31:K31"/>
    <mergeCell ref="Q26:S26"/>
    <mergeCell ref="Q27:S27"/>
    <mergeCell ref="H26:I27"/>
    <mergeCell ref="H28:I29"/>
    <mergeCell ref="H30:I31"/>
    <mergeCell ref="L20:P20"/>
    <mergeCell ref="R20:S20"/>
    <mergeCell ref="A21:H21"/>
    <mergeCell ref="L21:P21"/>
    <mergeCell ref="R21:S21"/>
    <mergeCell ref="A23:S23"/>
    <mergeCell ref="A24:D24"/>
    <mergeCell ref="E24:S24"/>
    <mergeCell ref="Q25:S25"/>
    <mergeCell ref="A22:H22"/>
    <mergeCell ref="L22:P22"/>
    <mergeCell ref="R22:S22"/>
    <mergeCell ref="U20:AA20"/>
    <mergeCell ref="A17:H17"/>
    <mergeCell ref="L17:P17"/>
    <mergeCell ref="R17:S17"/>
    <mergeCell ref="A18:F18"/>
    <mergeCell ref="G18:H18"/>
    <mergeCell ref="L18:P18"/>
    <mergeCell ref="R18:S18"/>
    <mergeCell ref="U15:AA18"/>
    <mergeCell ref="A19:H19"/>
    <mergeCell ref="G16:H16"/>
    <mergeCell ref="L16:P16"/>
    <mergeCell ref="R16:S16"/>
    <mergeCell ref="A15:H15"/>
    <mergeCell ref="L15:P15"/>
    <mergeCell ref="R15:S15"/>
    <mergeCell ref="A16:F16"/>
    <mergeCell ref="L19:P19"/>
    <mergeCell ref="R19:S19"/>
    <mergeCell ref="A20:F20"/>
    <mergeCell ref="G20:H20"/>
    <mergeCell ref="Q12:S12"/>
    <mergeCell ref="A13:G13"/>
    <mergeCell ref="H13:O13"/>
    <mergeCell ref="Q13:S13"/>
    <mergeCell ref="A1:S1"/>
    <mergeCell ref="A2:S2"/>
    <mergeCell ref="A3:F3"/>
    <mergeCell ref="G3:J3"/>
    <mergeCell ref="K3:N3"/>
    <mergeCell ref="A4:F4"/>
    <mergeCell ref="G4:J4"/>
    <mergeCell ref="K4:N4"/>
    <mergeCell ref="O4:S4"/>
    <mergeCell ref="A8:S8"/>
    <mergeCell ref="A9:S9"/>
    <mergeCell ref="B10:L10"/>
    <mergeCell ref="M10:S10"/>
    <mergeCell ref="A11:S11"/>
    <mergeCell ref="O3:S3"/>
    <mergeCell ref="U24:AA30"/>
    <mergeCell ref="A26:D27"/>
    <mergeCell ref="J26:K26"/>
    <mergeCell ref="J27:K27"/>
    <mergeCell ref="A28:D29"/>
    <mergeCell ref="J28:K28"/>
    <mergeCell ref="U12:AA13"/>
    <mergeCell ref="U9:AA11"/>
    <mergeCell ref="U1:AA3"/>
    <mergeCell ref="A7:F7"/>
    <mergeCell ref="G7:J7"/>
    <mergeCell ref="K7:N7"/>
    <mergeCell ref="O7:S7"/>
    <mergeCell ref="A5:F5"/>
    <mergeCell ref="G5:J5"/>
    <mergeCell ref="K5:N5"/>
    <mergeCell ref="O5:S5"/>
    <mergeCell ref="A6:F6"/>
    <mergeCell ref="A14:S14"/>
    <mergeCell ref="G6:J6"/>
    <mergeCell ref="K6:N6"/>
    <mergeCell ref="O6:S6"/>
    <mergeCell ref="U5:AA7"/>
    <mergeCell ref="A12:O12"/>
    <mergeCell ref="A52:F55"/>
    <mergeCell ref="I52:K52"/>
    <mergeCell ref="Q52:S52"/>
    <mergeCell ref="I53:K53"/>
    <mergeCell ref="Q53:S53"/>
    <mergeCell ref="G54:H54"/>
    <mergeCell ref="I54:K54"/>
    <mergeCell ref="Q54:S54"/>
    <mergeCell ref="G55:H55"/>
    <mergeCell ref="I55:K55"/>
    <mergeCell ref="Q55:S55"/>
    <mergeCell ref="Q67:S67"/>
    <mergeCell ref="A60:F63"/>
    <mergeCell ref="I60:K60"/>
    <mergeCell ref="Q60:S60"/>
    <mergeCell ref="I61:K61"/>
    <mergeCell ref="Q61:S61"/>
    <mergeCell ref="G62:H62"/>
    <mergeCell ref="I62:K62"/>
    <mergeCell ref="Q62:S62"/>
    <mergeCell ref="G63:H63"/>
    <mergeCell ref="A64:F67"/>
    <mergeCell ref="I64:K64"/>
    <mergeCell ref="Q64:S64"/>
    <mergeCell ref="I65:K65"/>
    <mergeCell ref="Q65:S65"/>
    <mergeCell ref="G66:H66"/>
    <mergeCell ref="I66:K66"/>
    <mergeCell ref="Q66:S66"/>
    <mergeCell ref="G67:H67"/>
    <mergeCell ref="I67:K67"/>
    <mergeCell ref="I63:K63"/>
    <mergeCell ref="Q63:S63"/>
    <mergeCell ref="A68:F68"/>
    <mergeCell ref="G68:H68"/>
    <mergeCell ref="I68:K68"/>
    <mergeCell ref="Q68:S68"/>
    <mergeCell ref="A69:F69"/>
    <mergeCell ref="G69:H69"/>
    <mergeCell ref="Q72:S72"/>
    <mergeCell ref="A73:F73"/>
    <mergeCell ref="G73:H73"/>
    <mergeCell ref="I73:K73"/>
    <mergeCell ref="Q73:S73"/>
    <mergeCell ref="I69:K69"/>
    <mergeCell ref="Q69:S69"/>
    <mergeCell ref="A70:F70"/>
    <mergeCell ref="G70:H70"/>
    <mergeCell ref="I70:K70"/>
    <mergeCell ref="Q70:S70"/>
    <mergeCell ref="A74:K74"/>
    <mergeCell ref="Q74:S74"/>
    <mergeCell ref="A75:O75"/>
    <mergeCell ref="P75:S75"/>
    <mergeCell ref="A76:D76"/>
    <mergeCell ref="P84:S84"/>
    <mergeCell ref="A85:O85"/>
    <mergeCell ref="P85:S85"/>
    <mergeCell ref="A71:F71"/>
    <mergeCell ref="G71:H71"/>
    <mergeCell ref="I71:K71"/>
    <mergeCell ref="Q71:S71"/>
    <mergeCell ref="A72:F72"/>
    <mergeCell ref="G72:H72"/>
    <mergeCell ref="I72:K72"/>
    <mergeCell ref="A79:O79"/>
    <mergeCell ref="P79:S79"/>
    <mergeCell ref="A80:O80"/>
    <mergeCell ref="P80:S80"/>
    <mergeCell ref="A78:O78"/>
    <mergeCell ref="P78:S78"/>
    <mergeCell ref="A91:S91"/>
    <mergeCell ref="A92:S93"/>
    <mergeCell ref="A94:S101"/>
    <mergeCell ref="A86:D86"/>
    <mergeCell ref="E86:S86"/>
    <mergeCell ref="A87:O87"/>
    <mergeCell ref="P87:S87"/>
    <mergeCell ref="A88:O88"/>
    <mergeCell ref="U76:AA85"/>
    <mergeCell ref="A77:O77"/>
    <mergeCell ref="P77:S77"/>
    <mergeCell ref="A81:S81"/>
    <mergeCell ref="A82:D82"/>
    <mergeCell ref="E82:S82"/>
    <mergeCell ref="E76:S76"/>
    <mergeCell ref="A83:O83"/>
    <mergeCell ref="P83:S83"/>
    <mergeCell ref="A84:O84"/>
    <mergeCell ref="P88:S88"/>
    <mergeCell ref="A89:O89"/>
    <mergeCell ref="P89:S89"/>
    <mergeCell ref="A90:O90"/>
    <mergeCell ref="P90:S90"/>
  </mergeCells>
  <dataValidations count="2">
    <dataValidation type="list" allowBlank="1" showInputMessage="1" showErrorMessage="1" sqref="G6" xr:uid="{00000000-0002-0000-0000-000001000000}">
      <formula1>$AB$6:$AB$9</formula1>
    </dataValidation>
    <dataValidation type="list" allowBlank="1" showInputMessage="1" showErrorMessage="1" sqref="G7" xr:uid="{00000000-0002-0000-0000-000000000000}">
      <formula1>$AD$6:$AD$9</formula1>
    </dataValidation>
  </dataValidations>
  <hyperlinks>
    <hyperlink ref="M10:S10" r:id="rId1" display="Click here to view UCB Cost Share Policy" xr:uid="{2CB0A27B-FE29-405B-BA58-CEEF993262D8}"/>
  </hyperlinks>
  <printOptions horizontalCentered="1"/>
  <pageMargins left="0.22" right="0.26" top="0.43" bottom="0.14000000000000001" header="0.18" footer="0.13"/>
  <pageSetup scale="90" fitToHeight="0" orientation="portrait" r:id="rId2"/>
  <rowBreaks count="1" manualBreakCount="1">
    <brk id="47" max="18" man="1"/>
  </rowBreaks>
  <colBreaks count="1" manualBreakCount="1">
    <brk id="19" max="140" man="1"/>
  </colBreaks>
  <ignoredErrors>
    <ignoredError sqref="E26:G35" unlockedFormula="1"/>
  </ignoredErrors>
  <drawing r:id="rId3"/>
  <legacyDrawing r:id="rId4"/>
  <mc:AlternateContent xmlns:mc="http://schemas.openxmlformats.org/markup-compatibility/2006">
    <mc:Choice Requires="x14">
      <controls>
        <mc:AlternateContent xmlns:mc="http://schemas.openxmlformats.org/markup-compatibility/2006">
          <mc:Choice Requires="x14">
            <control shapeId="23553" r:id="rId5" name="Check Box 1">
              <controlPr defaultSize="0" autoFill="0" autoLine="0" autoPict="0">
                <anchor moveWithCells="1">
                  <from>
                    <xdr:col>0</xdr:col>
                    <xdr:colOff>9525</xdr:colOff>
                    <xdr:row>9</xdr:row>
                    <xdr:rowOff>9525</xdr:rowOff>
                  </from>
                  <to>
                    <xdr:col>1</xdr:col>
                    <xdr:colOff>104775</xdr:colOff>
                    <xdr:row>9</xdr:row>
                    <xdr:rowOff>152400</xdr:rowOff>
                  </to>
                </anchor>
              </controlPr>
            </control>
          </mc:Choice>
        </mc:AlternateContent>
        <mc:AlternateContent xmlns:mc="http://schemas.openxmlformats.org/markup-compatibility/2006">
          <mc:Choice Requires="x14">
            <control shapeId="23554" r:id="rId6" name="Check Box 2">
              <controlPr defaultSize="0" autoFill="0" autoLine="0" autoPict="0">
                <anchor moveWithCells="1">
                  <from>
                    <xdr:col>12</xdr:col>
                    <xdr:colOff>447675</xdr:colOff>
                    <xdr:row>1</xdr:row>
                    <xdr:rowOff>66675</xdr:rowOff>
                  </from>
                  <to>
                    <xdr:col>13</xdr:col>
                    <xdr:colOff>190500</xdr:colOff>
                    <xdr:row>1</xdr:row>
                    <xdr:rowOff>200025</xdr:rowOff>
                  </to>
                </anchor>
              </controlPr>
            </control>
          </mc:Choice>
        </mc:AlternateContent>
        <mc:AlternateContent xmlns:mc="http://schemas.openxmlformats.org/markup-compatibility/2006">
          <mc:Choice Requires="x14">
            <control shapeId="23555" r:id="rId7" name="Check Box 3">
              <controlPr defaultSize="0" autoFill="0" autoLine="0" autoPict="0">
                <anchor moveWithCells="1">
                  <from>
                    <xdr:col>15</xdr:col>
                    <xdr:colOff>152400</xdr:colOff>
                    <xdr:row>1</xdr:row>
                    <xdr:rowOff>66675</xdr:rowOff>
                  </from>
                  <to>
                    <xdr:col>15</xdr:col>
                    <xdr:colOff>447675</xdr:colOff>
                    <xdr:row>1</xdr:row>
                    <xdr:rowOff>200025</xdr:rowOff>
                  </to>
                </anchor>
              </controlPr>
            </control>
          </mc:Choice>
        </mc:AlternateContent>
        <mc:AlternateContent xmlns:mc="http://schemas.openxmlformats.org/markup-compatibility/2006">
          <mc:Choice Requires="x14">
            <control shapeId="23556" r:id="rId8" name="Check Box 4">
              <controlPr defaultSize="0" autoFill="0" autoLine="0" autoPict="0">
                <anchor moveWithCells="1">
                  <from>
                    <xdr:col>0</xdr:col>
                    <xdr:colOff>9525</xdr:colOff>
                    <xdr:row>9</xdr:row>
                    <xdr:rowOff>9525</xdr:rowOff>
                  </from>
                  <to>
                    <xdr:col>1</xdr:col>
                    <xdr:colOff>104775</xdr:colOff>
                    <xdr:row>9</xdr:row>
                    <xdr:rowOff>152400</xdr:rowOff>
                  </to>
                </anchor>
              </controlPr>
            </control>
          </mc:Choice>
        </mc:AlternateContent>
        <mc:AlternateContent xmlns:mc="http://schemas.openxmlformats.org/markup-compatibility/2006">
          <mc:Choice Requires="x14">
            <control shapeId="23557" r:id="rId9" name="Check Box 5">
              <controlPr defaultSize="0" autoFill="0" autoLine="0" autoPict="0">
                <anchor moveWithCells="1">
                  <from>
                    <xdr:col>12</xdr:col>
                    <xdr:colOff>447675</xdr:colOff>
                    <xdr:row>1</xdr:row>
                    <xdr:rowOff>66675</xdr:rowOff>
                  </from>
                  <to>
                    <xdr:col>13</xdr:col>
                    <xdr:colOff>219075</xdr:colOff>
                    <xdr:row>1</xdr:row>
                    <xdr:rowOff>200025</xdr:rowOff>
                  </to>
                </anchor>
              </controlPr>
            </control>
          </mc:Choice>
        </mc:AlternateContent>
        <mc:AlternateContent xmlns:mc="http://schemas.openxmlformats.org/markup-compatibility/2006">
          <mc:Choice Requires="x14">
            <control shapeId="23558" r:id="rId10" name="Check Box 6">
              <controlPr defaultSize="0" autoFill="0" autoLine="0" autoPict="0">
                <anchor moveWithCells="1">
                  <from>
                    <xdr:col>15</xdr:col>
                    <xdr:colOff>152400</xdr:colOff>
                    <xdr:row>1</xdr:row>
                    <xdr:rowOff>66675</xdr:rowOff>
                  </from>
                  <to>
                    <xdr:col>15</xdr:col>
                    <xdr:colOff>447675</xdr:colOff>
                    <xdr:row>1</xdr:row>
                    <xdr:rowOff>200025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Q53"/>
  <sheetViews>
    <sheetView zoomScaleNormal="100" workbookViewId="0">
      <selection activeCell="A5" sqref="A5:K5"/>
    </sheetView>
  </sheetViews>
  <sheetFormatPr defaultColWidth="9" defaultRowHeight="15" x14ac:dyDescent="0.25"/>
  <cols>
    <col min="1" max="1" width="18.25" style="108" customWidth="1"/>
    <col min="2" max="5" width="8.5" style="108" customWidth="1"/>
    <col min="6" max="10" width="8.25" style="108" customWidth="1"/>
    <col min="11" max="11" width="11.375" style="108" customWidth="1"/>
    <col min="12" max="16384" width="9" style="108"/>
  </cols>
  <sheetData>
    <row r="1" spans="1:43" ht="34.5" customHeight="1" x14ac:dyDescent="0.3">
      <c r="A1" s="708" t="s">
        <v>239</v>
      </c>
      <c r="B1" s="709"/>
      <c r="C1" s="709"/>
      <c r="D1" s="709"/>
      <c r="E1" s="709"/>
      <c r="F1" s="709"/>
      <c r="G1" s="709"/>
      <c r="H1" s="709"/>
      <c r="I1" s="709"/>
      <c r="J1" s="709"/>
      <c r="K1" s="710"/>
      <c r="L1" s="118"/>
      <c r="M1" s="118"/>
      <c r="N1" s="118"/>
      <c r="O1" s="118"/>
      <c r="P1" s="118"/>
      <c r="Q1" s="118"/>
      <c r="R1" s="118"/>
      <c r="S1" s="119"/>
      <c r="T1" s="107"/>
      <c r="AB1" s="109"/>
      <c r="AC1" s="109"/>
      <c r="AD1" s="109"/>
      <c r="AE1" s="109"/>
      <c r="AF1" s="109"/>
      <c r="AG1" s="109"/>
      <c r="AH1" s="109"/>
      <c r="AI1" s="109"/>
      <c r="AJ1" s="109"/>
      <c r="AK1" s="109"/>
      <c r="AL1" s="109"/>
      <c r="AM1" s="109"/>
      <c r="AN1" s="109"/>
      <c r="AO1" s="109"/>
      <c r="AP1" s="109"/>
      <c r="AQ1" s="109"/>
    </row>
    <row r="2" spans="1:43" ht="24.95" customHeight="1" x14ac:dyDescent="0.25">
      <c r="A2" s="120" t="s">
        <v>50</v>
      </c>
      <c r="B2" s="711">
        <f>Estimation!E12</f>
        <v>0</v>
      </c>
      <c r="C2" s="712"/>
      <c r="D2" s="712"/>
      <c r="E2" s="712"/>
      <c r="F2" s="713" t="s">
        <v>167</v>
      </c>
      <c r="G2" s="714"/>
      <c r="H2" s="715">
        <f>Estimation!E2</f>
        <v>0</v>
      </c>
      <c r="I2" s="716"/>
      <c r="J2" s="716"/>
      <c r="K2" s="717"/>
    </row>
    <row r="3" spans="1:43" s="121" customFormat="1" ht="16.5" customHeight="1" x14ac:dyDescent="0.15">
      <c r="A3" s="718" t="s">
        <v>96</v>
      </c>
      <c r="B3" s="720">
        <f>Estimation!D9</f>
        <v>0</v>
      </c>
      <c r="C3" s="721"/>
      <c r="D3" s="721"/>
      <c r="E3" s="722"/>
      <c r="F3" s="726" t="s">
        <v>95</v>
      </c>
      <c r="G3" s="727"/>
      <c r="H3" s="730">
        <f>Estimation!E4</f>
        <v>0</v>
      </c>
      <c r="I3" s="731"/>
      <c r="J3" s="731"/>
      <c r="K3" s="732"/>
    </row>
    <row r="4" spans="1:43" s="121" customFormat="1" ht="16.5" customHeight="1" x14ac:dyDescent="0.15">
      <c r="A4" s="719"/>
      <c r="B4" s="723"/>
      <c r="C4" s="724"/>
      <c r="D4" s="724"/>
      <c r="E4" s="725"/>
      <c r="F4" s="728"/>
      <c r="G4" s="729"/>
      <c r="H4" s="733"/>
      <c r="I4" s="734"/>
      <c r="J4" s="734"/>
      <c r="K4" s="735"/>
    </row>
    <row r="5" spans="1:43" s="122" customFormat="1" ht="18" customHeight="1" x14ac:dyDescent="0.2">
      <c r="A5" s="736"/>
      <c r="B5" s="736"/>
      <c r="C5" s="736"/>
      <c r="D5" s="736"/>
      <c r="E5" s="736"/>
      <c r="F5" s="736"/>
      <c r="G5" s="736"/>
      <c r="H5" s="736"/>
      <c r="I5" s="736"/>
      <c r="J5" s="736"/>
      <c r="K5" s="736"/>
    </row>
    <row r="6" spans="1:43" ht="30.75" customHeight="1" x14ac:dyDescent="0.25">
      <c r="A6" s="737" t="s">
        <v>168</v>
      </c>
      <c r="B6" s="738"/>
      <c r="C6" s="738"/>
      <c r="D6" s="738"/>
      <c r="E6" s="738"/>
      <c r="F6" s="738"/>
      <c r="G6" s="738"/>
      <c r="H6" s="738"/>
      <c r="I6" s="738"/>
      <c r="J6" s="738"/>
      <c r="K6" s="739"/>
    </row>
    <row r="7" spans="1:43" ht="15" customHeight="1" x14ac:dyDescent="0.25">
      <c r="A7" s="740" t="s">
        <v>169</v>
      </c>
      <c r="B7" s="741"/>
      <c r="C7" s="741"/>
      <c r="D7" s="741"/>
      <c r="E7" s="741"/>
      <c r="F7" s="741"/>
      <c r="G7" s="741"/>
      <c r="H7" s="741"/>
      <c r="I7" s="741"/>
      <c r="J7" s="741"/>
      <c r="K7" s="742"/>
      <c r="L7" s="121"/>
      <c r="M7" s="121"/>
      <c r="N7" s="121"/>
      <c r="O7" s="121"/>
      <c r="P7" s="121"/>
      <c r="Q7" s="121"/>
      <c r="R7" s="121"/>
      <c r="S7" s="121"/>
      <c r="T7" s="121"/>
    </row>
    <row r="8" spans="1:43" ht="15" customHeight="1" x14ac:dyDescent="0.25">
      <c r="A8" s="743" t="s">
        <v>170</v>
      </c>
      <c r="B8" s="744"/>
      <c r="C8" s="744"/>
      <c r="D8" s="744"/>
      <c r="E8" s="744"/>
      <c r="F8" s="744"/>
      <c r="G8" s="744"/>
      <c r="H8" s="744"/>
      <c r="I8" s="744"/>
      <c r="J8" s="744"/>
      <c r="K8" s="745"/>
      <c r="L8" s="121"/>
      <c r="M8" s="121"/>
      <c r="N8" s="121"/>
      <c r="O8" s="121"/>
      <c r="P8" s="121"/>
      <c r="Q8" s="121"/>
      <c r="R8" s="121"/>
      <c r="S8" s="121"/>
      <c r="T8" s="121"/>
    </row>
    <row r="9" spans="1:43" ht="15" customHeight="1" x14ac:dyDescent="0.25">
      <c r="A9" s="746" t="s">
        <v>171</v>
      </c>
      <c r="B9" s="705"/>
      <c r="C9" s="705"/>
      <c r="D9" s="705"/>
      <c r="E9" s="705"/>
      <c r="F9" s="705"/>
      <c r="G9" s="705"/>
      <c r="H9" s="705"/>
      <c r="I9" s="705"/>
      <c r="J9" s="705"/>
      <c r="K9" s="747"/>
      <c r="L9" s="123"/>
      <c r="M9" s="122"/>
      <c r="N9" s="122"/>
      <c r="O9" s="122"/>
      <c r="P9" s="122"/>
      <c r="Q9" s="122"/>
      <c r="R9" s="122"/>
      <c r="S9" s="122"/>
      <c r="T9" s="122"/>
    </row>
    <row r="10" spans="1:43" ht="15" customHeight="1" x14ac:dyDescent="0.25">
      <c r="A10" s="124" t="s">
        <v>172</v>
      </c>
      <c r="B10" s="706" t="s">
        <v>173</v>
      </c>
      <c r="C10" s="706"/>
      <c r="D10" s="706"/>
      <c r="E10" s="707"/>
      <c r="F10" s="125" t="s">
        <v>0</v>
      </c>
      <c r="G10" s="125" t="s">
        <v>1</v>
      </c>
      <c r="H10" s="125" t="s">
        <v>22</v>
      </c>
      <c r="I10" s="125" t="s">
        <v>31</v>
      </c>
      <c r="J10" s="125" t="s">
        <v>43</v>
      </c>
      <c r="K10" s="124" t="s">
        <v>174</v>
      </c>
    </row>
    <row r="11" spans="1:43" ht="15" customHeight="1" x14ac:dyDescent="0.25">
      <c r="A11" s="126"/>
      <c r="B11" s="703"/>
      <c r="C11" s="703"/>
      <c r="D11" s="703"/>
      <c r="E11" s="701"/>
      <c r="F11" s="140"/>
      <c r="G11" s="140"/>
      <c r="H11" s="140"/>
      <c r="I11" s="140"/>
      <c r="J11" s="140"/>
      <c r="K11" s="127">
        <f t="shared" ref="K11:K19" si="0">SUM(F11:J11)</f>
        <v>0</v>
      </c>
    </row>
    <row r="12" spans="1:43" ht="15" customHeight="1" x14ac:dyDescent="0.25">
      <c r="A12" s="126"/>
      <c r="B12" s="701"/>
      <c r="C12" s="702"/>
      <c r="D12" s="702"/>
      <c r="E12" s="702"/>
      <c r="F12" s="140"/>
      <c r="G12" s="140"/>
      <c r="H12" s="140"/>
      <c r="I12" s="140"/>
      <c r="J12" s="140"/>
      <c r="K12" s="127">
        <f t="shared" si="0"/>
        <v>0</v>
      </c>
    </row>
    <row r="13" spans="1:43" ht="15" customHeight="1" x14ac:dyDescent="0.25">
      <c r="A13" s="126"/>
      <c r="B13" s="701"/>
      <c r="C13" s="702"/>
      <c r="D13" s="702"/>
      <c r="E13" s="702"/>
      <c r="F13" s="140"/>
      <c r="G13" s="140"/>
      <c r="H13" s="140"/>
      <c r="I13" s="140"/>
      <c r="J13" s="140"/>
      <c r="K13" s="127">
        <f t="shared" si="0"/>
        <v>0</v>
      </c>
    </row>
    <row r="14" spans="1:43" ht="15" customHeight="1" x14ac:dyDescent="0.25">
      <c r="A14" s="126"/>
      <c r="B14" s="701"/>
      <c r="C14" s="702"/>
      <c r="D14" s="702"/>
      <c r="E14" s="702"/>
      <c r="F14" s="140"/>
      <c r="G14" s="140"/>
      <c r="H14" s="140"/>
      <c r="I14" s="140"/>
      <c r="J14" s="140"/>
      <c r="K14" s="127">
        <f t="shared" si="0"/>
        <v>0</v>
      </c>
    </row>
    <row r="15" spans="1:43" ht="15" customHeight="1" x14ac:dyDescent="0.25">
      <c r="A15" s="126"/>
      <c r="B15" s="701"/>
      <c r="C15" s="702"/>
      <c r="D15" s="702"/>
      <c r="E15" s="702"/>
      <c r="F15" s="140"/>
      <c r="G15" s="140"/>
      <c r="H15" s="140"/>
      <c r="I15" s="140"/>
      <c r="J15" s="140"/>
      <c r="K15" s="127">
        <f t="shared" si="0"/>
        <v>0</v>
      </c>
    </row>
    <row r="16" spans="1:43" ht="15" customHeight="1" x14ac:dyDescent="0.25">
      <c r="A16" s="126"/>
      <c r="B16" s="701"/>
      <c r="C16" s="702"/>
      <c r="D16" s="702"/>
      <c r="E16" s="702"/>
      <c r="F16" s="140"/>
      <c r="G16" s="140"/>
      <c r="H16" s="140"/>
      <c r="I16" s="140"/>
      <c r="J16" s="140"/>
      <c r="K16" s="127">
        <f t="shared" si="0"/>
        <v>0</v>
      </c>
    </row>
    <row r="17" spans="1:11" ht="18" customHeight="1" x14ac:dyDescent="0.25">
      <c r="A17" s="126"/>
      <c r="B17" s="701"/>
      <c r="C17" s="702"/>
      <c r="D17" s="702"/>
      <c r="E17" s="702"/>
      <c r="F17" s="140"/>
      <c r="G17" s="140"/>
      <c r="H17" s="140"/>
      <c r="I17" s="140"/>
      <c r="J17" s="140"/>
      <c r="K17" s="127">
        <f t="shared" si="0"/>
        <v>0</v>
      </c>
    </row>
    <row r="18" spans="1:11" ht="15" customHeight="1" x14ac:dyDescent="0.25">
      <c r="A18" s="126"/>
      <c r="B18" s="701"/>
      <c r="C18" s="702"/>
      <c r="D18" s="702"/>
      <c r="E18" s="702"/>
      <c r="F18" s="140"/>
      <c r="G18" s="140"/>
      <c r="H18" s="140"/>
      <c r="I18" s="140"/>
      <c r="J18" s="140"/>
      <c r="K18" s="127">
        <f t="shared" si="0"/>
        <v>0</v>
      </c>
    </row>
    <row r="19" spans="1:11" ht="15" customHeight="1" x14ac:dyDescent="0.25">
      <c r="A19" s="126"/>
      <c r="B19" s="701"/>
      <c r="C19" s="702"/>
      <c r="D19" s="702"/>
      <c r="E19" s="702"/>
      <c r="F19" s="140"/>
      <c r="G19" s="140"/>
      <c r="H19" s="140"/>
      <c r="I19" s="140"/>
      <c r="J19" s="140"/>
      <c r="K19" s="127">
        <f t="shared" si="0"/>
        <v>0</v>
      </c>
    </row>
    <row r="20" spans="1:11" ht="15" customHeight="1" x14ac:dyDescent="0.25">
      <c r="A20" s="128"/>
      <c r="B20" s="128"/>
      <c r="C20" s="128"/>
      <c r="D20" s="128"/>
      <c r="E20" s="128"/>
      <c r="F20" s="128"/>
      <c r="G20" s="128"/>
      <c r="H20" s="128"/>
      <c r="I20" s="128"/>
      <c r="J20" s="129"/>
      <c r="K20" s="130">
        <f>SUM(K11:K19)</f>
        <v>0</v>
      </c>
    </row>
    <row r="21" spans="1:11" ht="15" customHeight="1" x14ac:dyDescent="0.25">
      <c r="A21" s="704" t="s">
        <v>175</v>
      </c>
      <c r="B21" s="704"/>
      <c r="C21" s="704"/>
      <c r="D21" s="704"/>
      <c r="E21" s="704"/>
      <c r="F21" s="704"/>
      <c r="G21" s="704"/>
      <c r="H21" s="704"/>
      <c r="I21" s="704"/>
      <c r="J21" s="704"/>
      <c r="K21" s="705"/>
    </row>
    <row r="22" spans="1:11" ht="15" customHeight="1" x14ac:dyDescent="0.25">
      <c r="A22" s="124" t="s">
        <v>172</v>
      </c>
      <c r="B22" s="706" t="s">
        <v>173</v>
      </c>
      <c r="C22" s="706"/>
      <c r="D22" s="706"/>
      <c r="E22" s="707"/>
      <c r="F22" s="125" t="s">
        <v>0</v>
      </c>
      <c r="G22" s="125" t="s">
        <v>1</v>
      </c>
      <c r="H22" s="125" t="s">
        <v>22</v>
      </c>
      <c r="I22" s="125" t="s">
        <v>31</v>
      </c>
      <c r="J22" s="125" t="s">
        <v>43</v>
      </c>
      <c r="K22" s="124" t="s">
        <v>174</v>
      </c>
    </row>
    <row r="23" spans="1:11" ht="15" customHeight="1" x14ac:dyDescent="0.25">
      <c r="A23" s="126"/>
      <c r="B23" s="703"/>
      <c r="C23" s="703"/>
      <c r="D23" s="703"/>
      <c r="E23" s="701"/>
      <c r="F23" s="140"/>
      <c r="G23" s="140"/>
      <c r="H23" s="140"/>
      <c r="I23" s="140"/>
      <c r="J23" s="140"/>
      <c r="K23" s="127">
        <f t="shared" ref="K23:K31" si="1">SUM(F23:J23)</f>
        <v>0</v>
      </c>
    </row>
    <row r="24" spans="1:11" ht="15" customHeight="1" x14ac:dyDescent="0.25">
      <c r="A24" s="126"/>
      <c r="B24" s="701"/>
      <c r="C24" s="702"/>
      <c r="D24" s="702"/>
      <c r="E24" s="702"/>
      <c r="F24" s="140"/>
      <c r="G24" s="140"/>
      <c r="H24" s="140"/>
      <c r="I24" s="140"/>
      <c r="J24" s="140"/>
      <c r="K24" s="127">
        <f t="shared" si="1"/>
        <v>0</v>
      </c>
    </row>
    <row r="25" spans="1:11" ht="15" customHeight="1" x14ac:dyDescent="0.25">
      <c r="A25" s="126"/>
      <c r="B25" s="701"/>
      <c r="C25" s="702"/>
      <c r="D25" s="702"/>
      <c r="E25" s="702"/>
      <c r="F25" s="140"/>
      <c r="G25" s="140"/>
      <c r="H25" s="140"/>
      <c r="I25" s="140"/>
      <c r="J25" s="140"/>
      <c r="K25" s="127">
        <f t="shared" si="1"/>
        <v>0</v>
      </c>
    </row>
    <row r="26" spans="1:11" ht="15" customHeight="1" x14ac:dyDescent="0.25">
      <c r="A26" s="126"/>
      <c r="B26" s="701"/>
      <c r="C26" s="702"/>
      <c r="D26" s="702"/>
      <c r="E26" s="702"/>
      <c r="F26" s="140"/>
      <c r="G26" s="140"/>
      <c r="H26" s="140"/>
      <c r="I26" s="140"/>
      <c r="J26" s="140"/>
      <c r="K26" s="127">
        <f t="shared" si="1"/>
        <v>0</v>
      </c>
    </row>
    <row r="27" spans="1:11" ht="15" customHeight="1" x14ac:dyDescent="0.25">
      <c r="A27" s="126"/>
      <c r="B27" s="701"/>
      <c r="C27" s="702"/>
      <c r="D27" s="702"/>
      <c r="E27" s="702"/>
      <c r="F27" s="140"/>
      <c r="G27" s="140"/>
      <c r="H27" s="140"/>
      <c r="I27" s="140"/>
      <c r="J27" s="140"/>
      <c r="K27" s="127">
        <f t="shared" si="1"/>
        <v>0</v>
      </c>
    </row>
    <row r="28" spans="1:11" ht="15" customHeight="1" x14ac:dyDescent="0.25">
      <c r="A28" s="126"/>
      <c r="B28" s="701"/>
      <c r="C28" s="702"/>
      <c r="D28" s="702"/>
      <c r="E28" s="702"/>
      <c r="F28" s="140"/>
      <c r="G28" s="140"/>
      <c r="H28" s="140"/>
      <c r="I28" s="140"/>
      <c r="J28" s="140"/>
      <c r="K28" s="127">
        <f t="shared" si="1"/>
        <v>0</v>
      </c>
    </row>
    <row r="29" spans="1:11" x14ac:dyDescent="0.25">
      <c r="A29" s="126"/>
      <c r="B29" s="701"/>
      <c r="C29" s="702"/>
      <c r="D29" s="702"/>
      <c r="E29" s="702"/>
      <c r="F29" s="140"/>
      <c r="G29" s="140"/>
      <c r="H29" s="140"/>
      <c r="I29" s="140"/>
      <c r="J29" s="140"/>
      <c r="K29" s="127">
        <f t="shared" si="1"/>
        <v>0</v>
      </c>
    </row>
    <row r="30" spans="1:11" x14ac:dyDescent="0.25">
      <c r="A30" s="126"/>
      <c r="B30" s="701"/>
      <c r="C30" s="702"/>
      <c r="D30" s="702"/>
      <c r="E30" s="702"/>
      <c r="F30" s="140"/>
      <c r="G30" s="140"/>
      <c r="H30" s="140"/>
      <c r="I30" s="140"/>
      <c r="J30" s="140"/>
      <c r="K30" s="127">
        <f t="shared" si="1"/>
        <v>0</v>
      </c>
    </row>
    <row r="31" spans="1:11" x14ac:dyDescent="0.25">
      <c r="A31" s="126"/>
      <c r="B31" s="701"/>
      <c r="C31" s="702"/>
      <c r="D31" s="702"/>
      <c r="E31" s="702"/>
      <c r="F31" s="140"/>
      <c r="G31" s="140"/>
      <c r="H31" s="140"/>
      <c r="I31" s="140"/>
      <c r="J31" s="140"/>
      <c r="K31" s="127">
        <f t="shared" si="1"/>
        <v>0</v>
      </c>
    </row>
    <row r="32" spans="1:11" x14ac:dyDescent="0.25">
      <c r="A32" s="128"/>
      <c r="B32" s="128"/>
      <c r="C32" s="128"/>
      <c r="D32" s="128"/>
      <c r="E32" s="128"/>
      <c r="F32" s="128"/>
      <c r="G32" s="128"/>
      <c r="H32" s="128"/>
      <c r="I32" s="128"/>
      <c r="J32" s="129"/>
      <c r="K32" s="130">
        <f>SUM(K23:K31)</f>
        <v>0</v>
      </c>
    </row>
    <row r="34" spans="1:6" x14ac:dyDescent="0.25">
      <c r="A34" s="108" t="s">
        <v>176</v>
      </c>
    </row>
    <row r="35" spans="1:6" x14ac:dyDescent="0.25">
      <c r="A35" s="108" t="s">
        <v>177</v>
      </c>
      <c r="F35" s="108" t="s">
        <v>178</v>
      </c>
    </row>
    <row r="36" spans="1:6" x14ac:dyDescent="0.25">
      <c r="A36" s="108" t="s">
        <v>179</v>
      </c>
      <c r="F36" s="108" t="s">
        <v>180</v>
      </c>
    </row>
    <row r="37" spans="1:6" x14ac:dyDescent="0.25">
      <c r="A37" s="108" t="s">
        <v>181</v>
      </c>
      <c r="F37" s="108" t="s">
        <v>182</v>
      </c>
    </row>
    <row r="39" spans="1:6" x14ac:dyDescent="0.25">
      <c r="A39" s="108" t="s">
        <v>183</v>
      </c>
    </row>
    <row r="40" spans="1:6" x14ac:dyDescent="0.25">
      <c r="A40" s="131" t="s">
        <v>184</v>
      </c>
    </row>
    <row r="41" spans="1:6" x14ac:dyDescent="0.25">
      <c r="A41" s="131" t="s">
        <v>185</v>
      </c>
    </row>
    <row r="42" spans="1:6" x14ac:dyDescent="0.25">
      <c r="A42" s="131" t="s">
        <v>186</v>
      </c>
    </row>
    <row r="43" spans="1:6" x14ac:dyDescent="0.25">
      <c r="A43" s="131" t="s">
        <v>187</v>
      </c>
    </row>
    <row r="44" spans="1:6" x14ac:dyDescent="0.25">
      <c r="A44" s="131" t="s">
        <v>188</v>
      </c>
    </row>
    <row r="45" spans="1:6" x14ac:dyDescent="0.25">
      <c r="A45" s="131" t="s">
        <v>189</v>
      </c>
    </row>
    <row r="46" spans="1:6" x14ac:dyDescent="0.25">
      <c r="A46" s="132" t="s">
        <v>190</v>
      </c>
    </row>
    <row r="47" spans="1:6" x14ac:dyDescent="0.25">
      <c r="A47" s="132" t="s">
        <v>191</v>
      </c>
    </row>
    <row r="48" spans="1:6" x14ac:dyDescent="0.25">
      <c r="A48" s="131" t="s">
        <v>192</v>
      </c>
    </row>
    <row r="50" spans="1:12" x14ac:dyDescent="0.25">
      <c r="A50" s="133" t="s">
        <v>193</v>
      </c>
      <c r="B50" s="133"/>
      <c r="C50" s="133"/>
      <c r="D50" s="133"/>
      <c r="E50" s="133"/>
      <c r="F50" s="133"/>
      <c r="G50" s="133"/>
      <c r="H50" s="133"/>
      <c r="I50" s="133"/>
      <c r="J50" s="133"/>
      <c r="K50" s="133"/>
      <c r="L50" s="133"/>
    </row>
    <row r="51" spans="1:12" x14ac:dyDescent="0.25">
      <c r="A51" s="134" t="s">
        <v>194</v>
      </c>
      <c r="C51" s="133"/>
      <c r="D51" s="133"/>
      <c r="E51" s="133"/>
      <c r="F51" s="133"/>
      <c r="G51" s="133"/>
      <c r="H51" s="133"/>
      <c r="I51" s="133"/>
      <c r="J51" s="133"/>
      <c r="K51" s="133"/>
      <c r="L51" s="133"/>
    </row>
    <row r="52" spans="1:12" x14ac:dyDescent="0.25">
      <c r="A52" s="134" t="s">
        <v>195</v>
      </c>
      <c r="C52" s="133"/>
      <c r="D52" s="133"/>
      <c r="E52" s="133"/>
      <c r="F52" s="133"/>
      <c r="G52" s="133"/>
      <c r="H52" s="133"/>
      <c r="I52" s="133"/>
      <c r="J52" s="133"/>
      <c r="K52" s="133"/>
      <c r="L52" s="133"/>
    </row>
    <row r="53" spans="1:12" x14ac:dyDescent="0.25">
      <c r="C53" s="135" t="s">
        <v>207</v>
      </c>
      <c r="D53" s="136" t="s">
        <v>208</v>
      </c>
    </row>
  </sheetData>
  <mergeCells count="34">
    <mergeCell ref="B10:E10"/>
    <mergeCell ref="A1:K1"/>
    <mergeCell ref="B2:E2"/>
    <mergeCell ref="F2:G2"/>
    <mergeCell ref="H2:K2"/>
    <mergeCell ref="A3:A4"/>
    <mergeCell ref="B3:E4"/>
    <mergeCell ref="F3:G4"/>
    <mergeCell ref="H3:K4"/>
    <mergeCell ref="A5:K5"/>
    <mergeCell ref="A6:K6"/>
    <mergeCell ref="A7:K7"/>
    <mergeCell ref="A8:K8"/>
    <mergeCell ref="A9:K9"/>
    <mergeCell ref="B23:E23"/>
    <mergeCell ref="B11:E11"/>
    <mergeCell ref="B12:E12"/>
    <mergeCell ref="B13:E13"/>
    <mergeCell ref="B14:E14"/>
    <mergeCell ref="B15:E15"/>
    <mergeCell ref="B16:E16"/>
    <mergeCell ref="B17:E17"/>
    <mergeCell ref="B18:E18"/>
    <mergeCell ref="B19:E19"/>
    <mergeCell ref="A21:K21"/>
    <mergeCell ref="B22:E22"/>
    <mergeCell ref="B30:E30"/>
    <mergeCell ref="B31:E31"/>
    <mergeCell ref="B24:E24"/>
    <mergeCell ref="B25:E25"/>
    <mergeCell ref="B26:E26"/>
    <mergeCell ref="B27:E27"/>
    <mergeCell ref="B28:E28"/>
    <mergeCell ref="B29:E29"/>
  </mergeCells>
  <hyperlinks>
    <hyperlink ref="A8" r:id="rId1" xr:uid="{00000000-0004-0000-0600-000000000000}"/>
    <hyperlink ref="D53" r:id="rId2" xr:uid="{00000000-0004-0000-0600-000001000000}"/>
  </hyperlinks>
  <pageMargins left="0.43" right="0.24" top="0.49" bottom="0.75" header="0.3" footer="0.3"/>
  <pageSetup scale="82" orientation="portrait" r:id="rId3"/>
  <drawing r:id="rId4"/>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Q44"/>
  <sheetViews>
    <sheetView zoomScaleNormal="100" workbookViewId="0">
      <selection activeCell="A5" sqref="A5:K5"/>
    </sheetView>
  </sheetViews>
  <sheetFormatPr defaultColWidth="9" defaultRowHeight="15" x14ac:dyDescent="0.25"/>
  <cols>
    <col min="1" max="1" width="21.125" style="88" customWidth="1"/>
    <col min="2" max="3" width="9" style="88"/>
    <col min="4" max="4" width="13.375" style="88" customWidth="1"/>
    <col min="5" max="5" width="4.75" style="88" customWidth="1"/>
    <col min="6" max="10" width="8.25" style="88" customWidth="1"/>
    <col min="11" max="11" width="11.75" style="88" customWidth="1"/>
    <col min="12" max="16384" width="9" style="88"/>
  </cols>
  <sheetData>
    <row r="1" spans="1:43" ht="35.25" customHeight="1" x14ac:dyDescent="0.3">
      <c r="A1" s="755" t="s">
        <v>116</v>
      </c>
      <c r="B1" s="756"/>
      <c r="C1" s="756"/>
      <c r="D1" s="756"/>
      <c r="E1" s="756"/>
      <c r="F1" s="756"/>
      <c r="G1" s="756"/>
      <c r="H1" s="756"/>
      <c r="I1" s="756"/>
      <c r="J1" s="756"/>
      <c r="K1" s="757"/>
      <c r="L1" s="92"/>
      <c r="M1" s="92"/>
      <c r="N1" s="92"/>
      <c r="O1" s="92"/>
      <c r="P1" s="92"/>
      <c r="Q1" s="92"/>
      <c r="R1" s="92"/>
      <c r="S1" s="93"/>
      <c r="T1" s="87"/>
      <c r="AB1" s="89"/>
      <c r="AC1" s="89"/>
      <c r="AD1" s="89"/>
      <c r="AE1" s="89"/>
      <c r="AF1" s="89"/>
      <c r="AG1" s="89"/>
      <c r="AH1" s="89"/>
      <c r="AI1" s="89"/>
      <c r="AJ1" s="89"/>
      <c r="AK1" s="89"/>
      <c r="AL1" s="89"/>
      <c r="AM1" s="89"/>
      <c r="AN1" s="89"/>
      <c r="AO1" s="89"/>
      <c r="AP1" s="89"/>
      <c r="AQ1" s="89"/>
    </row>
    <row r="2" spans="1:43" ht="24.75" customHeight="1" x14ac:dyDescent="0.25">
      <c r="A2" s="94" t="s">
        <v>50</v>
      </c>
      <c r="B2" s="711">
        <f>Estimation!E12</f>
        <v>0</v>
      </c>
      <c r="C2" s="712"/>
      <c r="D2" s="712"/>
      <c r="E2" s="712"/>
      <c r="F2" s="758" t="s">
        <v>167</v>
      </c>
      <c r="G2" s="759"/>
      <c r="H2" s="715">
        <f>Estimation!E1</f>
        <v>0</v>
      </c>
      <c r="I2" s="716"/>
      <c r="J2" s="716"/>
      <c r="K2" s="717"/>
    </row>
    <row r="3" spans="1:43" x14ac:dyDescent="0.25">
      <c r="A3" s="760" t="s">
        <v>96</v>
      </c>
      <c r="B3" s="720">
        <f>Estimation!D9</f>
        <v>0</v>
      </c>
      <c r="C3" s="721"/>
      <c r="D3" s="721"/>
      <c r="E3" s="722"/>
      <c r="F3" s="762" t="s">
        <v>95</v>
      </c>
      <c r="G3" s="763"/>
      <c r="H3" s="730">
        <f>Estimation!E4</f>
        <v>0</v>
      </c>
      <c r="I3" s="731"/>
      <c r="J3" s="731"/>
      <c r="K3" s="732"/>
    </row>
    <row r="4" spans="1:43" x14ac:dyDescent="0.25">
      <c r="A4" s="761"/>
      <c r="B4" s="723"/>
      <c r="C4" s="724"/>
      <c r="D4" s="724"/>
      <c r="E4" s="725"/>
      <c r="F4" s="764"/>
      <c r="G4" s="765"/>
      <c r="H4" s="733"/>
      <c r="I4" s="734"/>
      <c r="J4" s="734"/>
      <c r="K4" s="735"/>
    </row>
    <row r="5" spans="1:43" x14ac:dyDescent="0.25">
      <c r="A5" s="766"/>
      <c r="B5" s="766"/>
      <c r="C5" s="766"/>
      <c r="D5" s="766"/>
      <c r="E5" s="766"/>
      <c r="F5" s="766"/>
      <c r="G5" s="766"/>
      <c r="H5" s="766"/>
      <c r="I5" s="766"/>
      <c r="J5" s="766"/>
      <c r="K5" s="766"/>
    </row>
    <row r="6" spans="1:43" ht="23.25" customHeight="1" x14ac:dyDescent="0.25">
      <c r="A6" s="767" t="s">
        <v>196</v>
      </c>
      <c r="B6" s="768"/>
      <c r="C6" s="768"/>
      <c r="D6" s="768"/>
      <c r="E6" s="768"/>
      <c r="F6" s="768"/>
      <c r="G6" s="768"/>
      <c r="H6" s="768"/>
      <c r="I6" s="768"/>
      <c r="J6" s="768"/>
      <c r="K6" s="769"/>
    </row>
    <row r="7" spans="1:43" s="95" customFormat="1" ht="27.75" customHeight="1" x14ac:dyDescent="0.15">
      <c r="A7" s="770"/>
      <c r="B7" s="771"/>
      <c r="C7" s="771"/>
      <c r="D7" s="771"/>
      <c r="E7" s="771"/>
      <c r="F7" s="771"/>
      <c r="G7" s="771"/>
      <c r="H7" s="771"/>
      <c r="I7" s="771"/>
      <c r="J7" s="771"/>
      <c r="K7" s="772"/>
    </row>
    <row r="8" spans="1:43" s="96" customFormat="1" ht="15.75" x14ac:dyDescent="0.2">
      <c r="A8" s="773" t="s">
        <v>197</v>
      </c>
      <c r="B8" s="751"/>
      <c r="C8" s="751"/>
      <c r="D8" s="751"/>
      <c r="E8" s="751"/>
      <c r="F8" s="751"/>
      <c r="G8" s="751"/>
      <c r="H8" s="751"/>
      <c r="I8" s="751"/>
      <c r="J8" s="751"/>
      <c r="K8" s="774"/>
    </row>
    <row r="9" spans="1:43" x14ac:dyDescent="0.25">
      <c r="A9" s="97" t="s">
        <v>172</v>
      </c>
      <c r="B9" s="752" t="s">
        <v>173</v>
      </c>
      <c r="C9" s="752"/>
      <c r="D9" s="752"/>
      <c r="E9" s="753"/>
      <c r="F9" s="98" t="s">
        <v>0</v>
      </c>
      <c r="G9" s="98" t="s">
        <v>1</v>
      </c>
      <c r="H9" s="98" t="s">
        <v>22</v>
      </c>
      <c r="I9" s="98" t="s">
        <v>31</v>
      </c>
      <c r="J9" s="98" t="s">
        <v>43</v>
      </c>
      <c r="K9" s="97" t="s">
        <v>174</v>
      </c>
    </row>
    <row r="10" spans="1:43" x14ac:dyDescent="0.25">
      <c r="A10" s="99"/>
      <c r="B10" s="754"/>
      <c r="C10" s="754"/>
      <c r="D10" s="754"/>
      <c r="E10" s="748"/>
      <c r="F10" s="141"/>
      <c r="G10" s="141"/>
      <c r="H10" s="141"/>
      <c r="I10" s="141"/>
      <c r="J10" s="141"/>
      <c r="K10" s="100">
        <f t="shared" ref="K10:K18" si="0">SUM(F10:J10)</f>
        <v>0</v>
      </c>
    </row>
    <row r="11" spans="1:43" x14ac:dyDescent="0.25">
      <c r="A11" s="99"/>
      <c r="B11" s="748"/>
      <c r="C11" s="749"/>
      <c r="D11" s="749"/>
      <c r="E11" s="749"/>
      <c r="F11" s="141"/>
      <c r="G11" s="141"/>
      <c r="H11" s="141"/>
      <c r="I11" s="141"/>
      <c r="J11" s="141"/>
      <c r="K11" s="100">
        <f t="shared" si="0"/>
        <v>0</v>
      </c>
    </row>
    <row r="12" spans="1:43" x14ac:dyDescent="0.25">
      <c r="A12" s="99"/>
      <c r="B12" s="748"/>
      <c r="C12" s="749"/>
      <c r="D12" s="749"/>
      <c r="E12" s="749"/>
      <c r="F12" s="141"/>
      <c r="G12" s="141"/>
      <c r="H12" s="141"/>
      <c r="I12" s="141"/>
      <c r="J12" s="141"/>
      <c r="K12" s="100">
        <f t="shared" si="0"/>
        <v>0</v>
      </c>
    </row>
    <row r="13" spans="1:43" x14ac:dyDescent="0.25">
      <c r="A13" s="99"/>
      <c r="B13" s="748"/>
      <c r="C13" s="749"/>
      <c r="D13" s="749"/>
      <c r="E13" s="749"/>
      <c r="F13" s="141"/>
      <c r="G13" s="141"/>
      <c r="H13" s="141"/>
      <c r="I13" s="141"/>
      <c r="J13" s="141"/>
      <c r="K13" s="100">
        <f t="shared" si="0"/>
        <v>0</v>
      </c>
    </row>
    <row r="14" spans="1:43" x14ac:dyDescent="0.25">
      <c r="A14" s="99"/>
      <c r="B14" s="748"/>
      <c r="C14" s="749"/>
      <c r="D14" s="749"/>
      <c r="E14" s="749"/>
      <c r="F14" s="141"/>
      <c r="G14" s="141"/>
      <c r="H14" s="141"/>
      <c r="I14" s="141"/>
      <c r="J14" s="141"/>
      <c r="K14" s="100">
        <f t="shared" si="0"/>
        <v>0</v>
      </c>
    </row>
    <row r="15" spans="1:43" x14ac:dyDescent="0.25">
      <c r="A15" s="99"/>
      <c r="B15" s="748"/>
      <c r="C15" s="749"/>
      <c r="D15" s="749"/>
      <c r="E15" s="749"/>
      <c r="F15" s="141"/>
      <c r="G15" s="141"/>
      <c r="H15" s="141"/>
      <c r="I15" s="141"/>
      <c r="J15" s="141"/>
      <c r="K15" s="100">
        <f t="shared" si="0"/>
        <v>0</v>
      </c>
    </row>
    <row r="16" spans="1:43" x14ac:dyDescent="0.25">
      <c r="A16" s="99"/>
      <c r="B16" s="748"/>
      <c r="C16" s="749"/>
      <c r="D16" s="749"/>
      <c r="E16" s="749"/>
      <c r="F16" s="141"/>
      <c r="G16" s="141"/>
      <c r="H16" s="141"/>
      <c r="I16" s="141"/>
      <c r="J16" s="141"/>
      <c r="K16" s="100">
        <f t="shared" si="0"/>
        <v>0</v>
      </c>
    </row>
    <row r="17" spans="1:11" x14ac:dyDescent="0.25">
      <c r="A17" s="99"/>
      <c r="B17" s="748"/>
      <c r="C17" s="749"/>
      <c r="D17" s="749"/>
      <c r="E17" s="749"/>
      <c r="F17" s="141"/>
      <c r="G17" s="141"/>
      <c r="H17" s="141"/>
      <c r="I17" s="141"/>
      <c r="J17" s="141"/>
      <c r="K17" s="100">
        <f t="shared" si="0"/>
        <v>0</v>
      </c>
    </row>
    <row r="18" spans="1:11" x14ac:dyDescent="0.25">
      <c r="A18" s="99"/>
      <c r="B18" s="748"/>
      <c r="C18" s="749"/>
      <c r="D18" s="749"/>
      <c r="E18" s="749"/>
      <c r="F18" s="141"/>
      <c r="G18" s="141"/>
      <c r="H18" s="141"/>
      <c r="I18" s="141"/>
      <c r="J18" s="141"/>
      <c r="K18" s="100">
        <f t="shared" si="0"/>
        <v>0</v>
      </c>
    </row>
    <row r="19" spans="1:11" x14ac:dyDescent="0.25">
      <c r="A19" s="105"/>
      <c r="B19" s="101"/>
      <c r="C19" s="101"/>
      <c r="D19" s="101"/>
      <c r="E19" s="101"/>
      <c r="F19" s="101"/>
      <c r="G19" s="101"/>
      <c r="H19" s="101"/>
      <c r="I19" s="101"/>
      <c r="J19" s="102"/>
      <c r="K19" s="103">
        <f>SUM(K10:K18)</f>
        <v>0</v>
      </c>
    </row>
    <row r="20" spans="1:11" ht="15.75" x14ac:dyDescent="0.25">
      <c r="A20" s="750" t="s">
        <v>198</v>
      </c>
      <c r="B20" s="750"/>
      <c r="C20" s="750"/>
      <c r="D20" s="750"/>
      <c r="E20" s="750"/>
      <c r="F20" s="750"/>
      <c r="G20" s="750"/>
      <c r="H20" s="750"/>
      <c r="I20" s="750"/>
      <c r="J20" s="750"/>
      <c r="K20" s="751"/>
    </row>
    <row r="21" spans="1:11" x14ac:dyDescent="0.25">
      <c r="A21" s="97" t="s">
        <v>172</v>
      </c>
      <c r="B21" s="752" t="s">
        <v>173</v>
      </c>
      <c r="C21" s="752"/>
      <c r="D21" s="752"/>
      <c r="E21" s="753"/>
      <c r="F21" s="98" t="s">
        <v>0</v>
      </c>
      <c r="G21" s="98" t="s">
        <v>1</v>
      </c>
      <c r="H21" s="98" t="s">
        <v>22</v>
      </c>
      <c r="I21" s="98" t="s">
        <v>31</v>
      </c>
      <c r="J21" s="98" t="s">
        <v>43</v>
      </c>
      <c r="K21" s="97" t="s">
        <v>174</v>
      </c>
    </row>
    <row r="22" spans="1:11" x14ac:dyDescent="0.25">
      <c r="A22" s="99"/>
      <c r="B22" s="754"/>
      <c r="C22" s="754"/>
      <c r="D22" s="754"/>
      <c r="E22" s="748"/>
      <c r="F22" s="141"/>
      <c r="G22" s="141"/>
      <c r="H22" s="141"/>
      <c r="I22" s="141"/>
      <c r="J22" s="141"/>
      <c r="K22" s="100">
        <f t="shared" ref="K22:K30" si="1">SUM(F22:J22)</f>
        <v>0</v>
      </c>
    </row>
    <row r="23" spans="1:11" x14ac:dyDescent="0.25">
      <c r="A23" s="99"/>
      <c r="B23" s="748"/>
      <c r="C23" s="749"/>
      <c r="D23" s="749"/>
      <c r="E23" s="749"/>
      <c r="F23" s="141"/>
      <c r="G23" s="141"/>
      <c r="H23" s="141"/>
      <c r="I23" s="141"/>
      <c r="J23" s="141"/>
      <c r="K23" s="100">
        <f t="shared" si="1"/>
        <v>0</v>
      </c>
    </row>
    <row r="24" spans="1:11" x14ac:dyDescent="0.25">
      <c r="A24" s="99"/>
      <c r="B24" s="748"/>
      <c r="C24" s="749"/>
      <c r="D24" s="749"/>
      <c r="E24" s="749"/>
      <c r="F24" s="141"/>
      <c r="G24" s="141"/>
      <c r="H24" s="141"/>
      <c r="I24" s="141"/>
      <c r="J24" s="141"/>
      <c r="K24" s="100">
        <f t="shared" si="1"/>
        <v>0</v>
      </c>
    </row>
    <row r="25" spans="1:11" x14ac:dyDescent="0.25">
      <c r="A25" s="99"/>
      <c r="B25" s="748"/>
      <c r="C25" s="749"/>
      <c r="D25" s="749"/>
      <c r="E25" s="749"/>
      <c r="F25" s="141"/>
      <c r="G25" s="141"/>
      <c r="H25" s="141"/>
      <c r="I25" s="141"/>
      <c r="J25" s="141"/>
      <c r="K25" s="100">
        <f t="shared" si="1"/>
        <v>0</v>
      </c>
    </row>
    <row r="26" spans="1:11" x14ac:dyDescent="0.25">
      <c r="A26" s="99"/>
      <c r="B26" s="748"/>
      <c r="C26" s="749"/>
      <c r="D26" s="749"/>
      <c r="E26" s="749"/>
      <c r="F26" s="141"/>
      <c r="G26" s="141"/>
      <c r="H26" s="141"/>
      <c r="I26" s="141"/>
      <c r="J26" s="141"/>
      <c r="K26" s="100">
        <f t="shared" si="1"/>
        <v>0</v>
      </c>
    </row>
    <row r="27" spans="1:11" x14ac:dyDescent="0.25">
      <c r="A27" s="99"/>
      <c r="B27" s="748"/>
      <c r="C27" s="749"/>
      <c r="D27" s="749"/>
      <c r="E27" s="749"/>
      <c r="F27" s="141"/>
      <c r="G27" s="141"/>
      <c r="H27" s="141"/>
      <c r="I27" s="141"/>
      <c r="J27" s="141"/>
      <c r="K27" s="100">
        <f t="shared" si="1"/>
        <v>0</v>
      </c>
    </row>
    <row r="28" spans="1:11" x14ac:dyDescent="0.25">
      <c r="A28" s="99"/>
      <c r="B28" s="748"/>
      <c r="C28" s="749"/>
      <c r="D28" s="749"/>
      <c r="E28" s="749"/>
      <c r="F28" s="141"/>
      <c r="G28" s="141"/>
      <c r="H28" s="141"/>
      <c r="I28" s="141"/>
      <c r="J28" s="141"/>
      <c r="K28" s="100">
        <f t="shared" si="1"/>
        <v>0</v>
      </c>
    </row>
    <row r="29" spans="1:11" x14ac:dyDescent="0.25">
      <c r="A29" s="99"/>
      <c r="B29" s="748"/>
      <c r="C29" s="749"/>
      <c r="D29" s="749"/>
      <c r="E29" s="749"/>
      <c r="F29" s="141"/>
      <c r="G29" s="141"/>
      <c r="H29" s="141"/>
      <c r="I29" s="141"/>
      <c r="J29" s="141"/>
      <c r="K29" s="100">
        <f t="shared" si="1"/>
        <v>0</v>
      </c>
    </row>
    <row r="30" spans="1:11" x14ac:dyDescent="0.25">
      <c r="A30" s="99"/>
      <c r="B30" s="748"/>
      <c r="C30" s="749"/>
      <c r="D30" s="749"/>
      <c r="E30" s="749"/>
      <c r="F30" s="141"/>
      <c r="G30" s="141"/>
      <c r="H30" s="141"/>
      <c r="I30" s="141"/>
      <c r="J30" s="141"/>
      <c r="K30" s="100">
        <f t="shared" si="1"/>
        <v>0</v>
      </c>
    </row>
    <row r="31" spans="1:11" x14ac:dyDescent="0.25">
      <c r="A31" s="101"/>
      <c r="B31" s="101"/>
      <c r="C31" s="101"/>
      <c r="D31" s="101"/>
      <c r="E31" s="101"/>
      <c r="F31" s="101"/>
      <c r="G31" s="101"/>
      <c r="H31" s="101"/>
      <c r="I31" s="101"/>
      <c r="J31" s="102"/>
      <c r="K31" s="103">
        <f>SUM(K22:K30)</f>
        <v>0</v>
      </c>
    </row>
    <row r="33" spans="1:7" x14ac:dyDescent="0.25">
      <c r="A33" s="106" t="s">
        <v>199</v>
      </c>
    </row>
    <row r="34" spans="1:7" x14ac:dyDescent="0.25">
      <c r="A34" s="104" t="s">
        <v>200</v>
      </c>
    </row>
    <row r="35" spans="1:7" x14ac:dyDescent="0.25">
      <c r="A35" s="104" t="s">
        <v>201</v>
      </c>
    </row>
    <row r="36" spans="1:7" x14ac:dyDescent="0.25">
      <c r="A36" s="138" t="s">
        <v>211</v>
      </c>
      <c r="B36" s="139"/>
      <c r="C36" s="139"/>
      <c r="D36" s="139"/>
      <c r="E36" s="139"/>
      <c r="F36" s="139"/>
      <c r="G36" s="139"/>
    </row>
    <row r="37" spans="1:7" x14ac:dyDescent="0.25">
      <c r="A37" s="138" t="s">
        <v>212</v>
      </c>
      <c r="B37" s="139"/>
      <c r="C37" s="139"/>
      <c r="D37" s="139"/>
      <c r="E37" s="139"/>
      <c r="F37" s="139"/>
      <c r="G37" s="139"/>
    </row>
    <row r="38" spans="1:7" x14ac:dyDescent="0.25">
      <c r="A38" s="138" t="s">
        <v>213</v>
      </c>
      <c r="B38" s="139"/>
      <c r="C38" s="139"/>
      <c r="D38" s="139"/>
      <c r="E38" s="139"/>
      <c r="F38" s="139"/>
      <c r="G38" s="139"/>
    </row>
    <row r="39" spans="1:7" x14ac:dyDescent="0.25">
      <c r="A39" s="138" t="s">
        <v>214</v>
      </c>
      <c r="B39" s="139"/>
      <c r="C39" s="139"/>
      <c r="D39" s="139"/>
      <c r="E39" s="139"/>
      <c r="F39" s="139"/>
      <c r="G39" s="139"/>
    </row>
    <row r="40" spans="1:7" x14ac:dyDescent="0.25">
      <c r="A40" s="104" t="s">
        <v>202</v>
      </c>
    </row>
    <row r="41" spans="1:7" x14ac:dyDescent="0.25">
      <c r="A41" s="104" t="s">
        <v>203</v>
      </c>
    </row>
    <row r="42" spans="1:7" x14ac:dyDescent="0.25">
      <c r="A42" s="104" t="s">
        <v>204</v>
      </c>
    </row>
    <row r="43" spans="1:7" x14ac:dyDescent="0.25">
      <c r="A43" s="104" t="s">
        <v>205</v>
      </c>
    </row>
    <row r="44" spans="1:7" x14ac:dyDescent="0.25">
      <c r="A44" s="104" t="s">
        <v>206</v>
      </c>
    </row>
  </sheetData>
  <mergeCells count="33">
    <mergeCell ref="B10:E10"/>
    <mergeCell ref="A1:K1"/>
    <mergeCell ref="B2:E2"/>
    <mergeCell ref="F2:G2"/>
    <mergeCell ref="H2:K2"/>
    <mergeCell ref="A3:A4"/>
    <mergeCell ref="B3:E4"/>
    <mergeCell ref="F3:G4"/>
    <mergeCell ref="H3:K4"/>
    <mergeCell ref="A5:K5"/>
    <mergeCell ref="A6:K6"/>
    <mergeCell ref="A7:K7"/>
    <mergeCell ref="A8:K8"/>
    <mergeCell ref="B9:E9"/>
    <mergeCell ref="B23:E23"/>
    <mergeCell ref="B11:E11"/>
    <mergeCell ref="B12:E12"/>
    <mergeCell ref="B13:E13"/>
    <mergeCell ref="B14:E14"/>
    <mergeCell ref="B15:E15"/>
    <mergeCell ref="B16:E16"/>
    <mergeCell ref="B17:E17"/>
    <mergeCell ref="B18:E18"/>
    <mergeCell ref="A20:K20"/>
    <mergeCell ref="B21:E21"/>
    <mergeCell ref="B22:E22"/>
    <mergeCell ref="B30:E30"/>
    <mergeCell ref="B24:E24"/>
    <mergeCell ref="B25:E25"/>
    <mergeCell ref="B26:E26"/>
    <mergeCell ref="B27:E27"/>
    <mergeCell ref="B28:E28"/>
    <mergeCell ref="B29:E29"/>
  </mergeCells>
  <pageMargins left="0.48" right="0.17" top="0.51" bottom="0.75" header="0.3" footer="0.3"/>
  <pageSetup scale="8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9C4A69-B840-4383-89A4-BAD94AE4D865}">
  <dimension ref="A1:BK240"/>
  <sheetViews>
    <sheetView zoomScaleNormal="100" workbookViewId="0">
      <selection activeCell="N22" sqref="N22"/>
    </sheetView>
  </sheetViews>
  <sheetFormatPr defaultColWidth="9" defaultRowHeight="15" outlineLevelRow="1" x14ac:dyDescent="0.25"/>
  <cols>
    <col min="1" max="1" width="2.75" style="13" customWidth="1"/>
    <col min="2" max="2" width="4.625" style="13" customWidth="1"/>
    <col min="3" max="3" width="18.625" style="13" customWidth="1"/>
    <col min="4" max="4" width="7.75" style="13" customWidth="1"/>
    <col min="5" max="5" width="1.75" style="15" customWidth="1"/>
    <col min="6" max="6" width="11.375" style="13" customWidth="1"/>
    <col min="7" max="7" width="1.75" style="13" customWidth="1"/>
    <col min="8" max="8" width="11.375" style="13" customWidth="1"/>
    <col min="9" max="9" width="1.75" style="13" customWidth="1"/>
    <col min="10" max="10" width="11.375" style="13" customWidth="1"/>
    <col min="11" max="11" width="1.75" style="13" customWidth="1"/>
    <col min="12" max="12" width="11.375" style="13" customWidth="1"/>
    <col min="13" max="13" width="1.75" style="13" customWidth="1"/>
    <col min="14" max="14" width="11.375" style="13" customWidth="1"/>
    <col min="15" max="15" width="1.5" style="13" customWidth="1"/>
    <col min="16" max="16" width="11.375" style="13" hidden="1" customWidth="1"/>
    <col min="17" max="17" width="1.5" style="13" hidden="1" customWidth="1"/>
    <col min="18" max="18" width="11.375" style="13" hidden="1" customWidth="1"/>
    <col min="19" max="19" width="1.5" style="13" hidden="1" customWidth="1"/>
    <col min="20" max="20" width="11.375" style="13" hidden="1" customWidth="1"/>
    <col min="21" max="21" width="1.5" style="13" hidden="1" customWidth="1"/>
    <col min="22" max="22" width="11.375" style="13" hidden="1" customWidth="1"/>
    <col min="23" max="23" width="1.5" style="13" hidden="1" customWidth="1"/>
    <col min="24" max="24" width="11.375" style="13" hidden="1" customWidth="1"/>
    <col min="25" max="25" width="1.5" style="13" hidden="1" customWidth="1"/>
    <col min="26" max="26" width="11.375" style="13" customWidth="1" collapsed="1"/>
    <col min="27" max="27" width="1.75" style="13" customWidth="1"/>
    <col min="28" max="28" width="3.25" style="13" customWidth="1"/>
    <col min="29" max="29" width="10.875" style="13" customWidth="1"/>
    <col min="30" max="30" width="9" style="13"/>
    <col min="31" max="31" width="1.75" style="13" customWidth="1"/>
    <col min="32" max="32" width="9" style="13" customWidth="1"/>
    <col min="33" max="33" width="2.125" style="13" customWidth="1"/>
    <col min="34" max="34" width="9" style="13"/>
    <col min="35" max="35" width="2" style="13" customWidth="1"/>
    <col min="36" max="36" width="9" style="13"/>
    <col min="37" max="37" width="2.125" style="13" customWidth="1"/>
    <col min="38" max="38" width="9" style="13"/>
    <col min="39" max="39" width="1.75" style="13" customWidth="1"/>
    <col min="40" max="40" width="9" style="13" customWidth="1"/>
    <col min="41" max="41" width="1.75" style="13" customWidth="1"/>
    <col min="42" max="42" width="9" style="13" customWidth="1"/>
    <col min="43" max="43" width="1.75" style="13" customWidth="1"/>
    <col min="44" max="44" width="9" style="13" customWidth="1"/>
    <col min="45" max="45" width="1.75" style="13" customWidth="1"/>
    <col min="46" max="46" width="9" style="13" customWidth="1"/>
    <col min="47" max="47" width="1.75" style="13" customWidth="1"/>
    <col min="48" max="48" width="9" style="13" customWidth="1"/>
    <col min="49" max="49" width="1.75" style="13" customWidth="1"/>
    <col min="50" max="50" width="9" style="13" customWidth="1"/>
    <col min="51" max="51" width="2" style="13" customWidth="1"/>
    <col min="52" max="52" width="10.625" style="13" customWidth="1"/>
    <col min="53" max="16384" width="9" style="13"/>
  </cols>
  <sheetData>
    <row r="1" spans="1:63" ht="43.9" customHeight="1" x14ac:dyDescent="0.25">
      <c r="AC1" s="367"/>
      <c r="AD1" s="367"/>
      <c r="AE1" s="367"/>
      <c r="AF1" s="367"/>
      <c r="AG1" s="367"/>
      <c r="AH1" s="367"/>
      <c r="AI1" s="367"/>
      <c r="AJ1" s="367"/>
      <c r="AK1"/>
      <c r="AL1"/>
      <c r="AM1"/>
      <c r="AN1"/>
      <c r="AO1"/>
      <c r="AP1"/>
      <c r="AQ1"/>
      <c r="AR1"/>
      <c r="AS1"/>
      <c r="AT1"/>
      <c r="AU1"/>
      <c r="AV1"/>
      <c r="AW1"/>
      <c r="AX1"/>
      <c r="AY1"/>
      <c r="AZ1"/>
      <c r="BA1"/>
      <c r="BB1"/>
      <c r="BC1"/>
      <c r="BD1"/>
      <c r="BE1"/>
      <c r="BF1"/>
      <c r="BG1"/>
      <c r="BH1"/>
      <c r="BI1"/>
      <c r="BJ1"/>
      <c r="BK1"/>
    </row>
    <row r="2" spans="1:63" ht="14.65" customHeight="1" x14ac:dyDescent="0.25">
      <c r="AC2" s="367"/>
      <c r="AD2" s="367"/>
      <c r="AE2" s="367"/>
      <c r="AF2" s="367"/>
      <c r="AG2" s="367"/>
      <c r="AH2" s="367"/>
      <c r="AI2" s="367"/>
      <c r="AJ2" s="367"/>
      <c r="AK2"/>
      <c r="AL2"/>
      <c r="AM2"/>
      <c r="AN2"/>
      <c r="AO2"/>
      <c r="AP2"/>
      <c r="AQ2"/>
      <c r="AR2"/>
      <c r="AS2"/>
      <c r="AT2"/>
      <c r="AU2"/>
      <c r="AV2"/>
      <c r="AW2"/>
      <c r="AX2"/>
      <c r="AY2"/>
      <c r="AZ2"/>
      <c r="BA2"/>
      <c r="BB2"/>
      <c r="BC2"/>
      <c r="BD2"/>
      <c r="BE2"/>
      <c r="BF2"/>
      <c r="BG2"/>
      <c r="BH2"/>
      <c r="BI2"/>
      <c r="BJ2"/>
      <c r="BK2"/>
    </row>
    <row r="3" spans="1:63" ht="19.5" x14ac:dyDescent="0.25">
      <c r="A3" s="775" t="s">
        <v>403</v>
      </c>
      <c r="B3" s="776"/>
      <c r="C3" s="776"/>
      <c r="D3" s="776"/>
      <c r="E3" s="776"/>
      <c r="F3" s="776"/>
      <c r="G3" s="776"/>
      <c r="H3" s="776"/>
      <c r="I3" s="776"/>
      <c r="J3" s="776"/>
      <c r="K3" s="776"/>
      <c r="L3" s="776"/>
      <c r="M3" s="776"/>
      <c r="N3" s="776"/>
      <c r="O3" s="776"/>
      <c r="P3" s="776"/>
      <c r="Q3" s="776"/>
      <c r="R3" s="776"/>
      <c r="S3" s="776"/>
      <c r="T3" s="776"/>
      <c r="U3" s="776"/>
      <c r="V3" s="776"/>
      <c r="W3" s="776"/>
      <c r="X3" s="776"/>
      <c r="Y3" s="776"/>
      <c r="Z3" s="776"/>
      <c r="AA3" s="776"/>
      <c r="AB3" s="6"/>
      <c r="AC3" s="367"/>
      <c r="AD3" s="367"/>
      <c r="AE3" s="367"/>
      <c r="AF3" s="367"/>
      <c r="AG3" s="367"/>
      <c r="AH3" s="367"/>
      <c r="AI3" s="367"/>
      <c r="AJ3" s="367"/>
      <c r="AK3"/>
      <c r="AL3"/>
      <c r="AM3"/>
      <c r="AN3"/>
      <c r="AO3"/>
      <c r="AP3"/>
      <c r="AQ3"/>
      <c r="AR3"/>
      <c r="AS3"/>
      <c r="AT3"/>
      <c r="AU3"/>
      <c r="AV3"/>
      <c r="AW3"/>
      <c r="AX3"/>
      <c r="AY3"/>
      <c r="AZ3"/>
      <c r="BA3"/>
      <c r="BB3"/>
      <c r="BC3"/>
      <c r="BD3"/>
      <c r="BE3"/>
      <c r="BF3"/>
      <c r="BG3"/>
      <c r="BH3"/>
      <c r="BI3"/>
      <c r="BJ3"/>
      <c r="BK3"/>
    </row>
    <row r="4" spans="1:63" ht="15.75" x14ac:dyDescent="0.25">
      <c r="B4" s="73"/>
      <c r="D4" s="3"/>
      <c r="E4" s="4"/>
      <c r="F4" s="4"/>
      <c r="G4" s="4"/>
      <c r="H4" s="5"/>
      <c r="I4" s="5"/>
      <c r="J4" s="16"/>
      <c r="K4" s="6"/>
      <c r="L4" s="6"/>
      <c r="M4" s="6"/>
      <c r="N4" s="6"/>
      <c r="O4" s="6"/>
      <c r="P4" s="6"/>
      <c r="Q4" s="6"/>
      <c r="R4" s="6"/>
      <c r="S4" s="6"/>
      <c r="T4" s="6"/>
      <c r="U4" s="6"/>
      <c r="V4" s="6"/>
      <c r="W4" s="6"/>
      <c r="X4" s="6"/>
      <c r="Y4" s="6"/>
      <c r="Z4" s="6"/>
      <c r="AA4" s="4"/>
      <c r="AB4" s="6"/>
      <c r="AC4" s="367"/>
      <c r="AD4" s="367"/>
      <c r="AE4" s="367"/>
      <c r="AF4" s="367"/>
      <c r="AG4" s="367"/>
      <c r="AH4" s="367"/>
      <c r="AI4" s="367"/>
      <c r="AJ4" s="367"/>
      <c r="AK4"/>
      <c r="AL4"/>
      <c r="AM4"/>
      <c r="AN4"/>
      <c r="AO4"/>
      <c r="AP4"/>
      <c r="AQ4"/>
      <c r="AR4"/>
      <c r="AS4"/>
      <c r="AT4"/>
      <c r="AU4"/>
      <c r="AV4"/>
      <c r="AW4"/>
      <c r="AX4"/>
      <c r="AY4"/>
      <c r="AZ4"/>
      <c r="BA4"/>
      <c r="BB4"/>
      <c r="BC4"/>
      <c r="BD4"/>
      <c r="BE4"/>
      <c r="BF4"/>
      <c r="BG4"/>
      <c r="BH4"/>
      <c r="BI4"/>
      <c r="BJ4"/>
      <c r="BK4"/>
    </row>
    <row r="5" spans="1:63" ht="15.75" x14ac:dyDescent="0.25">
      <c r="B5" s="10" t="s">
        <v>50</v>
      </c>
      <c r="E5" s="431" t="str">
        <f>IF(Estimation!E12=0, "", Estimation!E12)</f>
        <v/>
      </c>
      <c r="F5" s="431"/>
      <c r="G5" s="431"/>
      <c r="H5" s="431"/>
      <c r="J5" s="10" t="s">
        <v>23</v>
      </c>
      <c r="K5" s="73"/>
      <c r="M5" s="431" t="str">
        <f>IF(Estimation!E1=0, "", Estimation!E1)</f>
        <v/>
      </c>
      <c r="N5" s="431"/>
      <c r="O5" s="431"/>
      <c r="P5" s="431"/>
      <c r="Q5" s="8"/>
      <c r="R5" s="8"/>
      <c r="S5" s="8"/>
      <c r="T5" s="8"/>
      <c r="U5" s="8"/>
      <c r="V5" s="8"/>
      <c r="W5" s="8"/>
      <c r="X5" s="8"/>
      <c r="Y5" s="8"/>
      <c r="Z5" s="8"/>
      <c r="AB5" s="74"/>
      <c r="AC5" s="367"/>
      <c r="AD5" s="367"/>
      <c r="AE5" s="367"/>
      <c r="AF5" s="367"/>
      <c r="AG5" s="367"/>
      <c r="AH5" s="367"/>
      <c r="AI5" s="367"/>
      <c r="AJ5" s="367"/>
      <c r="AK5"/>
      <c r="AL5"/>
      <c r="AM5"/>
      <c r="AN5"/>
      <c r="AO5"/>
      <c r="AP5"/>
      <c r="AQ5"/>
      <c r="AR5"/>
      <c r="AS5"/>
      <c r="AT5"/>
      <c r="AU5"/>
      <c r="AV5"/>
      <c r="AW5"/>
      <c r="AX5"/>
      <c r="AY5"/>
      <c r="AZ5"/>
      <c r="BA5"/>
      <c r="BB5"/>
      <c r="BC5"/>
      <c r="BD5"/>
      <c r="BE5"/>
      <c r="BF5"/>
      <c r="BG5"/>
      <c r="BH5"/>
      <c r="BI5"/>
      <c r="BJ5"/>
      <c r="BK5"/>
    </row>
    <row r="6" spans="1:63" ht="15.75" x14ac:dyDescent="0.25">
      <c r="B6" s="10" t="s">
        <v>51</v>
      </c>
      <c r="E6" s="431" t="str">
        <f>IF(Estimation!E13=0, "", Estimation!E13)</f>
        <v/>
      </c>
      <c r="F6" s="431"/>
      <c r="G6" s="431"/>
      <c r="H6" s="431"/>
      <c r="J6" s="10" t="s">
        <v>87</v>
      </c>
      <c r="K6" s="73"/>
      <c r="M6" s="431" t="str">
        <f>IF(Estimation!E2=0, "", Estimation!E2)</f>
        <v/>
      </c>
      <c r="N6" s="431"/>
      <c r="O6" s="431"/>
      <c r="P6" s="431"/>
      <c r="Q6" s="8"/>
      <c r="R6" s="8"/>
      <c r="S6" s="8"/>
      <c r="T6" s="8"/>
      <c r="U6" s="8"/>
      <c r="V6" s="8"/>
      <c r="W6" s="8"/>
      <c r="X6" s="8"/>
      <c r="Y6" s="8"/>
      <c r="Z6" s="8"/>
      <c r="AB6" s="74"/>
      <c r="AC6" s="367"/>
      <c r="AD6" s="367"/>
      <c r="AE6" s="367"/>
      <c r="AF6" s="367"/>
      <c r="AG6" s="367"/>
      <c r="AH6" s="367"/>
      <c r="AI6" s="367"/>
      <c r="AJ6" s="367"/>
      <c r="AK6"/>
      <c r="AL6"/>
      <c r="AM6"/>
      <c r="AN6"/>
      <c r="AO6"/>
      <c r="AP6"/>
      <c r="AQ6"/>
      <c r="AR6"/>
      <c r="AS6"/>
      <c r="AT6"/>
      <c r="AU6"/>
      <c r="AV6"/>
      <c r="AW6"/>
      <c r="AX6"/>
      <c r="AY6"/>
      <c r="AZ6"/>
      <c r="BA6"/>
      <c r="BB6"/>
      <c r="BC6"/>
      <c r="BD6"/>
      <c r="BE6"/>
      <c r="BF6"/>
      <c r="BG6"/>
      <c r="BH6"/>
      <c r="BI6"/>
      <c r="BJ6"/>
      <c r="BK6"/>
    </row>
    <row r="7" spans="1:63" ht="15.75" x14ac:dyDescent="0.25">
      <c r="B7" s="73"/>
      <c r="E7" s="431" t="str">
        <f>IF(Estimation!E14=0, "", Estimation!E14)</f>
        <v/>
      </c>
      <c r="F7" s="431"/>
      <c r="G7" s="431"/>
      <c r="H7" s="431"/>
      <c r="I7" s="40"/>
      <c r="J7" s="73"/>
      <c r="K7" s="73"/>
      <c r="M7" s="8"/>
      <c r="N7" s="8"/>
      <c r="O7" s="8"/>
      <c r="P7" s="8"/>
      <c r="Q7" s="8"/>
      <c r="R7" s="8"/>
      <c r="S7" s="8"/>
      <c r="T7" s="8"/>
      <c r="U7" s="8"/>
      <c r="V7" s="8"/>
      <c r="W7" s="8"/>
      <c r="X7" s="8"/>
      <c r="Y7" s="8"/>
      <c r="Z7" s="8"/>
      <c r="AB7" s="74"/>
      <c r="AC7" s="367"/>
      <c r="AD7" s="367"/>
      <c r="AE7" s="367"/>
      <c r="AF7" s="367"/>
      <c r="AG7" s="367"/>
      <c r="AH7" s="367"/>
      <c r="AI7" s="367"/>
      <c r="AJ7" s="367"/>
      <c r="AK7"/>
      <c r="AL7"/>
      <c r="AM7"/>
      <c r="AN7"/>
      <c r="AO7"/>
      <c r="AP7"/>
      <c r="AQ7"/>
      <c r="AR7"/>
      <c r="AS7"/>
      <c r="AT7"/>
      <c r="AU7"/>
      <c r="AV7"/>
      <c r="AW7"/>
      <c r="AX7"/>
      <c r="AY7"/>
      <c r="AZ7"/>
      <c r="BA7"/>
      <c r="BB7"/>
      <c r="BC7"/>
      <c r="BD7"/>
      <c r="BE7"/>
      <c r="BF7"/>
      <c r="BG7"/>
      <c r="BH7"/>
      <c r="BI7"/>
      <c r="BJ7"/>
      <c r="BK7"/>
    </row>
    <row r="8" spans="1:63" ht="15.75" x14ac:dyDescent="0.25">
      <c r="B8" s="73"/>
      <c r="D8" s="73"/>
      <c r="E8" s="73"/>
      <c r="F8" s="73"/>
      <c r="G8" s="73"/>
      <c r="H8" s="7"/>
      <c r="I8" s="7"/>
      <c r="J8" s="74"/>
      <c r="K8" s="74"/>
      <c r="L8" s="74"/>
      <c r="M8" s="74"/>
      <c r="N8" s="74"/>
      <c r="O8" s="74"/>
      <c r="P8" s="74"/>
      <c r="Q8" s="74"/>
      <c r="R8" s="74"/>
      <c r="S8" s="74"/>
      <c r="T8" s="74"/>
      <c r="U8" s="74"/>
      <c r="V8" s="74"/>
      <c r="W8" s="74"/>
      <c r="X8" s="74"/>
      <c r="Y8" s="74"/>
      <c r="Z8" s="74"/>
      <c r="AB8" s="74"/>
      <c r="AC8" s="367"/>
      <c r="AD8" s="367"/>
      <c r="AE8" s="367"/>
      <c r="AF8" s="367"/>
      <c r="AG8" s="367"/>
      <c r="AH8" s="367"/>
      <c r="AI8" s="367"/>
      <c r="AJ8" s="367"/>
      <c r="AK8"/>
      <c r="AL8"/>
      <c r="AM8"/>
      <c r="AN8"/>
      <c r="AO8"/>
      <c r="AP8"/>
      <c r="AQ8"/>
      <c r="AR8"/>
      <c r="AS8"/>
      <c r="AT8"/>
      <c r="AU8"/>
      <c r="AV8"/>
      <c r="AW8"/>
      <c r="AX8"/>
      <c r="AY8"/>
      <c r="AZ8"/>
      <c r="BA8"/>
      <c r="BB8"/>
      <c r="BC8"/>
      <c r="BD8"/>
      <c r="BE8"/>
      <c r="BF8"/>
      <c r="BG8"/>
      <c r="BH8"/>
      <c r="BI8"/>
      <c r="BJ8"/>
      <c r="BK8"/>
    </row>
    <row r="9" spans="1:63" ht="15.6" customHeight="1" x14ac:dyDescent="0.25">
      <c r="B9" s="10" t="s">
        <v>20</v>
      </c>
      <c r="C9" s="433" t="str">
        <f>IF(Estimation!D9=0, "", Estimation!D9)</f>
        <v/>
      </c>
      <c r="D9" s="433"/>
      <c r="E9" s="433"/>
      <c r="F9" s="433"/>
      <c r="G9" s="433"/>
      <c r="H9" s="433"/>
      <c r="J9" s="153" t="s">
        <v>242</v>
      </c>
      <c r="M9" s="430" t="str">
        <f>IF(Estimation!E3=0, "", Estimation!E3)</f>
        <v/>
      </c>
      <c r="N9" s="430"/>
      <c r="O9" s="430"/>
      <c r="P9" s="430"/>
      <c r="Q9" s="339"/>
      <c r="R9" s="339"/>
      <c r="S9" s="339"/>
      <c r="T9" s="339"/>
      <c r="U9" s="339"/>
      <c r="V9" s="339"/>
      <c r="W9" s="339"/>
      <c r="X9" s="339"/>
      <c r="Y9" s="339"/>
      <c r="Z9" s="339"/>
      <c r="AC9" s="367"/>
      <c r="AD9" s="367"/>
      <c r="AE9" s="367"/>
      <c r="AF9" s="367"/>
      <c r="AG9" s="367"/>
      <c r="AH9" s="367"/>
      <c r="AI9" s="367"/>
      <c r="AJ9" s="367"/>
      <c r="AK9"/>
      <c r="AL9"/>
      <c r="AM9"/>
      <c r="AN9"/>
      <c r="AO9"/>
      <c r="AP9"/>
      <c r="AQ9"/>
      <c r="AR9"/>
      <c r="AS9"/>
      <c r="AT9"/>
      <c r="AU9"/>
      <c r="AV9"/>
      <c r="AW9"/>
      <c r="AX9"/>
      <c r="AY9"/>
      <c r="AZ9"/>
      <c r="BA9"/>
      <c r="BB9"/>
      <c r="BC9"/>
      <c r="BD9"/>
      <c r="BE9"/>
      <c r="BF9"/>
      <c r="BG9"/>
      <c r="BH9"/>
      <c r="BI9"/>
      <c r="BJ9"/>
      <c r="BK9"/>
    </row>
    <row r="10" spans="1:63" ht="15.75" x14ac:dyDescent="0.25">
      <c r="C10" s="433"/>
      <c r="D10" s="433"/>
      <c r="E10" s="433"/>
      <c r="F10" s="433"/>
      <c r="G10" s="433"/>
      <c r="H10" s="433"/>
      <c r="AC10" s="367"/>
      <c r="AD10" s="367"/>
      <c r="AE10" s="367"/>
      <c r="AF10" s="367"/>
      <c r="AG10" s="367"/>
      <c r="AH10" s="367"/>
      <c r="AI10" s="367"/>
      <c r="AJ10" s="367"/>
      <c r="AK10"/>
      <c r="AL10"/>
      <c r="AM10"/>
      <c r="AN10"/>
      <c r="AO10"/>
      <c r="AP10"/>
      <c r="AQ10"/>
      <c r="AR10"/>
      <c r="AS10"/>
      <c r="AT10"/>
      <c r="AU10"/>
      <c r="AV10"/>
      <c r="AW10"/>
      <c r="AX10"/>
      <c r="AY10"/>
      <c r="AZ10"/>
      <c r="BA10"/>
      <c r="BB10"/>
      <c r="BC10"/>
      <c r="BD10"/>
      <c r="BE10"/>
      <c r="BF10"/>
      <c r="BG10"/>
      <c r="BH10"/>
      <c r="BI10"/>
      <c r="BJ10"/>
      <c r="BK10"/>
    </row>
    <row r="11" spans="1:63" ht="15.75" x14ac:dyDescent="0.25">
      <c r="B11" s="8"/>
      <c r="C11" s="433"/>
      <c r="D11" s="433"/>
      <c r="E11" s="433"/>
      <c r="F11" s="433"/>
      <c r="G11" s="433"/>
      <c r="H11" s="433"/>
      <c r="J11" s="166" t="s">
        <v>18</v>
      </c>
      <c r="M11" s="431" t="str">
        <f>IF(Estimation!E18=0, "", Estimation!E18)</f>
        <v/>
      </c>
      <c r="N11" s="431"/>
      <c r="O11" s="431"/>
      <c r="P11" s="431"/>
      <c r="Q11" s="8"/>
      <c r="R11" s="8"/>
      <c r="S11" s="8"/>
      <c r="T11" s="8"/>
      <c r="U11" s="8"/>
      <c r="V11" s="8"/>
      <c r="W11" s="8"/>
      <c r="X11" s="8"/>
      <c r="Y11" s="8"/>
      <c r="Z11" s="8"/>
      <c r="AC11" s="367"/>
      <c r="AD11" s="367"/>
      <c r="AE11" s="367"/>
      <c r="AF11" s="367"/>
      <c r="AG11" s="367"/>
      <c r="AH11" s="367"/>
      <c r="AI11" s="367"/>
      <c r="AJ11" s="367"/>
      <c r="AK11"/>
      <c r="AL11"/>
      <c r="AM11"/>
      <c r="AN11"/>
      <c r="AO11"/>
      <c r="AP11"/>
      <c r="AQ11"/>
      <c r="AR11"/>
      <c r="AS11"/>
      <c r="AT11"/>
      <c r="AU11"/>
      <c r="AV11"/>
      <c r="AW11"/>
      <c r="AX11"/>
      <c r="AY11"/>
      <c r="AZ11"/>
      <c r="BA11"/>
      <c r="BB11"/>
      <c r="BC11"/>
      <c r="BD11"/>
      <c r="BE11"/>
      <c r="BF11"/>
      <c r="BG11"/>
      <c r="BH11"/>
      <c r="BI11"/>
      <c r="BJ11"/>
      <c r="BK11"/>
    </row>
    <row r="12" spans="1:63" ht="15.75" x14ac:dyDescent="0.25">
      <c r="B12" s="8"/>
      <c r="C12" s="433"/>
      <c r="D12" s="433"/>
      <c r="E12" s="433"/>
      <c r="F12" s="433"/>
      <c r="G12" s="433"/>
      <c r="H12" s="433"/>
      <c r="AC12" s="367"/>
      <c r="AD12" s="367"/>
      <c r="AE12" s="367"/>
      <c r="AF12" s="367"/>
      <c r="AG12" s="367"/>
      <c r="AH12" s="367"/>
      <c r="AI12" s="367"/>
      <c r="AJ12" s="367"/>
      <c r="AK12" s="367"/>
      <c r="AL12" s="367"/>
      <c r="AM12" s="367"/>
      <c r="AN12" s="367"/>
      <c r="AO12" s="367"/>
      <c r="AP12" s="367"/>
      <c r="AQ12" s="367"/>
      <c r="AR12" s="367"/>
      <c r="AS12" s="367"/>
      <c r="AT12" s="367"/>
      <c r="AU12" s="367"/>
      <c r="AV12" s="367"/>
      <c r="AW12" s="367"/>
      <c r="AX12" s="367"/>
      <c r="AY12" s="367"/>
      <c r="AZ12" s="367"/>
    </row>
    <row r="13" spans="1:63" ht="16.5" thickBot="1" x14ac:dyDescent="0.3">
      <c r="B13" s="73"/>
      <c r="D13" s="73"/>
      <c r="E13" s="73"/>
      <c r="F13" s="73"/>
      <c r="G13" s="73"/>
      <c r="H13" s="8"/>
      <c r="I13" s="25"/>
      <c r="J13" s="8"/>
      <c r="K13" s="25"/>
      <c r="L13" s="25"/>
      <c r="M13" s="25"/>
      <c r="N13" s="25"/>
      <c r="P13" s="25"/>
      <c r="R13" s="25"/>
      <c r="T13" s="25"/>
      <c r="V13" s="25"/>
      <c r="X13" s="25"/>
      <c r="AC13" s="367"/>
      <c r="AD13" s="367"/>
      <c r="AE13" s="367"/>
      <c r="AF13" s="367"/>
      <c r="AG13" s="367"/>
      <c r="AH13" s="367"/>
      <c r="AI13" s="367"/>
      <c r="AJ13" s="367"/>
      <c r="AK13" s="367"/>
      <c r="AL13" s="367"/>
      <c r="AM13" s="367"/>
      <c r="AN13" s="367"/>
      <c r="AO13" s="367"/>
      <c r="AP13" s="367"/>
      <c r="AQ13" s="367"/>
      <c r="AR13" s="367"/>
      <c r="AS13" s="367"/>
      <c r="AT13" s="367"/>
      <c r="AU13" s="367"/>
      <c r="AV13" s="367"/>
      <c r="AW13" s="367"/>
      <c r="AX13" s="367"/>
      <c r="AY13" s="367"/>
      <c r="AZ13" s="367"/>
    </row>
    <row r="14" spans="1:63" ht="17.25" thickTop="1" thickBot="1" x14ac:dyDescent="0.3">
      <c r="B14" s="777" t="s">
        <v>404</v>
      </c>
      <c r="C14" s="777"/>
      <c r="D14" s="777"/>
      <c r="E14" s="777"/>
      <c r="F14" s="777"/>
      <c r="G14" s="777"/>
      <c r="H14" s="777"/>
      <c r="I14" s="777"/>
      <c r="J14" s="777"/>
      <c r="K14" s="777"/>
      <c r="L14" s="367"/>
      <c r="M14" s="367"/>
      <c r="N14" s="367"/>
      <c r="O14" s="367"/>
      <c r="P14" s="367"/>
      <c r="Q14" s="367"/>
      <c r="R14" s="367"/>
      <c r="S14" s="367"/>
      <c r="T14" s="367"/>
      <c r="U14" s="367"/>
      <c r="V14" s="367"/>
      <c r="W14" s="367"/>
      <c r="X14" s="367"/>
      <c r="Y14" s="367"/>
      <c r="Z14" s="367"/>
      <c r="AA14" s="367"/>
      <c r="AB14" s="30"/>
      <c r="AC14" s="367"/>
      <c r="AD14" s="367"/>
      <c r="AE14" s="367"/>
      <c r="AF14" s="367"/>
      <c r="AG14" s="367"/>
      <c r="AH14" s="367"/>
      <c r="AI14" s="367"/>
      <c r="AJ14" s="367"/>
      <c r="AK14" s="367"/>
      <c r="AL14" s="367"/>
      <c r="AM14" s="367"/>
      <c r="AN14" s="367"/>
      <c r="AO14" s="367"/>
      <c r="AP14" s="367"/>
      <c r="AQ14" s="367"/>
      <c r="AR14" s="367"/>
      <c r="AS14" s="367"/>
      <c r="AT14" s="367"/>
      <c r="AU14" s="367"/>
      <c r="AV14" s="367"/>
      <c r="AW14" s="367"/>
      <c r="AX14" s="367"/>
      <c r="AY14" s="367"/>
      <c r="AZ14" s="367"/>
    </row>
    <row r="15" spans="1:63" ht="16.5" thickTop="1" x14ac:dyDescent="0.25">
      <c r="B15" s="39"/>
      <c r="C15" s="778" t="s">
        <v>405</v>
      </c>
      <c r="D15" s="778"/>
      <c r="E15" s="778"/>
      <c r="F15" s="778"/>
      <c r="G15" s="778"/>
      <c r="H15" s="778"/>
      <c r="I15" s="778"/>
      <c r="J15" s="778"/>
      <c r="K15" s="778"/>
      <c r="L15" s="367"/>
      <c r="M15" s="367"/>
      <c r="N15" s="367"/>
      <c r="O15" s="367"/>
      <c r="P15" s="367"/>
      <c r="Q15" s="367"/>
      <c r="R15" s="367"/>
      <c r="S15" s="367"/>
      <c r="T15" s="367"/>
      <c r="U15" s="367"/>
      <c r="V15" s="367"/>
      <c r="W15" s="367"/>
      <c r="X15" s="367"/>
      <c r="Y15" s="367"/>
      <c r="Z15" s="367"/>
      <c r="AA15" s="367"/>
      <c r="AB15" s="29"/>
      <c r="AC15" s="367"/>
      <c r="AD15" s="367"/>
      <c r="AE15" s="367"/>
      <c r="AF15" s="367"/>
      <c r="AG15" s="367"/>
      <c r="AH15" s="367"/>
      <c r="AI15" s="367"/>
      <c r="AJ15" s="367"/>
      <c r="AK15" s="367"/>
      <c r="AL15" s="367"/>
      <c r="AM15" s="367"/>
      <c r="AN15" s="367"/>
      <c r="AO15" s="367"/>
      <c r="AP15" s="367"/>
      <c r="AQ15" s="367"/>
      <c r="AR15" s="367"/>
      <c r="AS15" s="367"/>
      <c r="AT15" s="367"/>
      <c r="AU15" s="367"/>
      <c r="AV15" s="367"/>
      <c r="AW15" s="367"/>
      <c r="AX15" s="367"/>
      <c r="AY15" s="367"/>
      <c r="AZ15" s="367"/>
    </row>
    <row r="16" spans="1:63" ht="15.75" hidden="1" outlineLevel="1" x14ac:dyDescent="0.25">
      <c r="B16" s="39"/>
      <c r="C16" s="784" t="s">
        <v>406</v>
      </c>
      <c r="D16" s="784"/>
      <c r="E16" s="370"/>
      <c r="F16" s="780" t="s">
        <v>407</v>
      </c>
      <c r="G16" s="780"/>
      <c r="H16" s="780"/>
      <c r="I16" s="780"/>
      <c r="J16" s="780"/>
      <c r="K16" s="39"/>
      <c r="L16" s="367"/>
      <c r="M16" s="367"/>
      <c r="N16" s="367"/>
      <c r="O16" s="367"/>
      <c r="P16" s="367"/>
      <c r="Q16" s="367"/>
      <c r="R16" s="367"/>
      <c r="S16" s="367"/>
      <c r="T16" s="367"/>
      <c r="U16" s="367"/>
      <c r="V16" s="367"/>
      <c r="W16" s="367"/>
      <c r="X16" s="367"/>
      <c r="Y16" s="367"/>
      <c r="Z16" s="367"/>
      <c r="AA16" s="367"/>
      <c r="AB16" s="29"/>
      <c r="AC16" s="367"/>
      <c r="AD16" s="367"/>
      <c r="AE16" s="367"/>
      <c r="AF16" s="367"/>
      <c r="AG16" s="367"/>
      <c r="AH16" s="367"/>
      <c r="AI16" s="367"/>
      <c r="AJ16" s="367"/>
      <c r="AK16" s="367"/>
      <c r="AL16" s="367"/>
      <c r="AM16" s="367"/>
      <c r="AN16" s="367"/>
      <c r="AO16" s="367"/>
      <c r="AP16" s="367"/>
      <c r="AQ16" s="367"/>
      <c r="AR16" s="367"/>
      <c r="AS16" s="367"/>
      <c r="AT16" s="367"/>
      <c r="AU16" s="367"/>
      <c r="AV16" s="367"/>
      <c r="AW16" s="367"/>
      <c r="AX16" s="367"/>
      <c r="AY16" s="367"/>
      <c r="AZ16" s="367"/>
    </row>
    <row r="17" spans="2:52" ht="78" hidden="1" customHeight="1" outlineLevel="1" x14ac:dyDescent="0.25">
      <c r="B17" s="39"/>
      <c r="C17" s="781" t="s">
        <v>408</v>
      </c>
      <c r="D17" s="781"/>
      <c r="E17" s="370"/>
      <c r="F17" s="779" t="s">
        <v>409</v>
      </c>
      <c r="G17" s="779"/>
      <c r="H17" s="779"/>
      <c r="I17" s="779"/>
      <c r="J17" s="779"/>
      <c r="K17" s="39"/>
      <c r="L17" s="367"/>
      <c r="M17" s="367"/>
      <c r="N17" s="367"/>
      <c r="O17" s="367"/>
      <c r="P17" s="367"/>
      <c r="Q17" s="367"/>
      <c r="R17" s="367"/>
      <c r="S17" s="367"/>
      <c r="T17" s="367"/>
      <c r="U17" s="367"/>
      <c r="V17" s="367"/>
      <c r="W17" s="367"/>
      <c r="X17" s="367"/>
      <c r="Y17" s="367"/>
      <c r="Z17" s="367"/>
      <c r="AA17" s="367"/>
      <c r="AB17" s="29"/>
      <c r="AC17" s="367"/>
      <c r="AD17" s="367"/>
      <c r="AE17" s="367"/>
      <c r="AF17" s="367"/>
      <c r="AG17" s="367"/>
      <c r="AH17" s="367"/>
      <c r="AI17" s="367"/>
      <c r="AJ17" s="367"/>
      <c r="AK17" s="367"/>
      <c r="AL17" s="367"/>
      <c r="AM17" s="367"/>
      <c r="AN17" s="367"/>
      <c r="AO17" s="367"/>
      <c r="AP17" s="367"/>
      <c r="AQ17" s="367"/>
      <c r="AR17" s="367"/>
      <c r="AS17" s="367"/>
      <c r="AT17" s="367"/>
      <c r="AU17" s="367"/>
      <c r="AV17" s="367"/>
      <c r="AW17" s="367"/>
      <c r="AX17" s="367"/>
      <c r="AY17" s="367"/>
      <c r="AZ17" s="367"/>
    </row>
    <row r="18" spans="2:52" ht="30.75" hidden="1" customHeight="1" outlineLevel="1" x14ac:dyDescent="0.25">
      <c r="B18" s="39"/>
      <c r="C18" s="783" t="s">
        <v>410</v>
      </c>
      <c r="D18" s="783"/>
      <c r="E18" s="370"/>
      <c r="F18" s="782" t="s">
        <v>411</v>
      </c>
      <c r="G18" s="782"/>
      <c r="H18" s="782"/>
      <c r="I18" s="782"/>
      <c r="J18" s="782"/>
      <c r="K18" s="39"/>
      <c r="L18" s="367"/>
      <c r="M18" s="367"/>
      <c r="N18" s="367"/>
      <c r="O18" s="367"/>
      <c r="P18" s="367"/>
      <c r="Q18" s="367"/>
      <c r="R18" s="367"/>
      <c r="S18" s="367"/>
      <c r="T18" s="367"/>
      <c r="U18" s="367"/>
      <c r="V18" s="367"/>
      <c r="W18" s="367"/>
      <c r="X18" s="367"/>
      <c r="Y18" s="367"/>
      <c r="Z18" s="367"/>
      <c r="AA18" s="367"/>
      <c r="AB18" s="29"/>
      <c r="AC18" s="367"/>
      <c r="AD18" s="367"/>
      <c r="AE18" s="367"/>
      <c r="AF18" s="367"/>
      <c r="AG18" s="367"/>
      <c r="AH18" s="367"/>
      <c r="AI18" s="367"/>
      <c r="AJ18" s="367"/>
      <c r="AK18" s="367"/>
      <c r="AL18" s="367"/>
      <c r="AM18" s="367"/>
      <c r="AN18" s="367"/>
      <c r="AO18" s="367"/>
      <c r="AP18" s="367"/>
      <c r="AQ18" s="367"/>
      <c r="AR18" s="367"/>
      <c r="AS18" s="367"/>
      <c r="AT18" s="367"/>
      <c r="AU18" s="367"/>
      <c r="AV18" s="367"/>
      <c r="AW18" s="367"/>
      <c r="AX18" s="367"/>
      <c r="AY18" s="367"/>
      <c r="AZ18" s="367"/>
    </row>
    <row r="19" spans="2:52" ht="63.75" hidden="1" customHeight="1" outlineLevel="1" x14ac:dyDescent="0.25">
      <c r="B19" s="39"/>
      <c r="C19" s="787" t="s">
        <v>412</v>
      </c>
      <c r="D19" s="787"/>
      <c r="E19" s="370"/>
      <c r="F19" s="779" t="s">
        <v>413</v>
      </c>
      <c r="G19" s="779"/>
      <c r="H19" s="779"/>
      <c r="I19" s="779"/>
      <c r="J19" s="779"/>
      <c r="K19" s="39"/>
      <c r="L19" s="367"/>
      <c r="M19" s="367"/>
      <c r="N19" s="367"/>
      <c r="O19" s="367"/>
      <c r="P19" s="367"/>
      <c r="Q19" s="367"/>
      <c r="R19" s="367"/>
      <c r="S19" s="367"/>
      <c r="T19" s="367"/>
      <c r="U19" s="367"/>
      <c r="V19" s="367"/>
      <c r="W19" s="367"/>
      <c r="X19" s="367"/>
      <c r="Y19" s="367"/>
      <c r="Z19" s="367"/>
      <c r="AA19" s="367"/>
      <c r="AB19" s="29"/>
      <c r="AC19" s="367"/>
      <c r="AD19" s="367"/>
      <c r="AE19" s="367"/>
      <c r="AF19" s="367"/>
      <c r="AG19" s="367"/>
      <c r="AH19" s="367"/>
      <c r="AI19" s="367"/>
      <c r="AJ19" s="367"/>
      <c r="AK19" s="367"/>
      <c r="AL19" s="367"/>
      <c r="AM19" s="367"/>
      <c r="AN19" s="367"/>
      <c r="AO19" s="367"/>
      <c r="AP19" s="367"/>
      <c r="AQ19" s="367"/>
      <c r="AR19" s="367"/>
      <c r="AS19" s="367"/>
      <c r="AT19" s="367"/>
      <c r="AU19" s="367"/>
      <c r="AV19" s="367"/>
      <c r="AW19" s="367"/>
      <c r="AX19" s="367"/>
      <c r="AY19" s="367"/>
      <c r="AZ19" s="367"/>
    </row>
    <row r="20" spans="2:52" ht="15.75" hidden="1" outlineLevel="1" x14ac:dyDescent="0.25">
      <c r="B20" s="39"/>
      <c r="C20" s="785" t="s">
        <v>414</v>
      </c>
      <c r="D20" s="785"/>
      <c r="E20" s="370"/>
      <c r="F20" s="788" t="s">
        <v>407</v>
      </c>
      <c r="G20" s="788"/>
      <c r="H20" s="788"/>
      <c r="I20" s="788"/>
      <c r="J20" s="788"/>
      <c r="K20" s="39"/>
      <c r="L20" s="367"/>
      <c r="M20" s="367"/>
      <c r="N20" s="367"/>
      <c r="O20" s="367"/>
      <c r="P20" s="367"/>
      <c r="Q20" s="367"/>
      <c r="R20" s="367"/>
      <c r="S20" s="367"/>
      <c r="T20" s="367"/>
      <c r="U20" s="367"/>
      <c r="V20" s="367"/>
      <c r="W20" s="367"/>
      <c r="X20" s="367"/>
      <c r="Y20" s="367"/>
      <c r="Z20" s="367"/>
      <c r="AA20" s="367"/>
      <c r="AB20" s="29"/>
      <c r="AC20" s="367"/>
      <c r="AD20" s="367"/>
      <c r="AE20" s="367"/>
      <c r="AF20" s="367"/>
      <c r="AG20" s="367"/>
      <c r="AH20" s="367"/>
      <c r="AI20" s="367"/>
      <c r="AJ20" s="367"/>
      <c r="AK20" s="367"/>
      <c r="AL20" s="367"/>
      <c r="AM20" s="367"/>
      <c r="AN20" s="367"/>
      <c r="AO20" s="367"/>
      <c r="AP20" s="367"/>
      <c r="AQ20" s="367"/>
      <c r="AR20" s="367"/>
      <c r="AS20" s="367"/>
      <c r="AT20" s="367"/>
      <c r="AU20" s="367"/>
      <c r="AV20" s="367"/>
      <c r="AW20" s="367"/>
      <c r="AX20" s="367"/>
      <c r="AY20" s="367"/>
      <c r="AZ20" s="367"/>
    </row>
    <row r="21" spans="2:52" ht="61.5" hidden="1" customHeight="1" outlineLevel="1" x14ac:dyDescent="0.25">
      <c r="B21" s="39"/>
      <c r="C21" s="789" t="s">
        <v>408</v>
      </c>
      <c r="D21" s="789"/>
      <c r="E21" s="370"/>
      <c r="F21" s="782" t="s">
        <v>415</v>
      </c>
      <c r="G21" s="782"/>
      <c r="H21" s="782"/>
      <c r="I21" s="782"/>
      <c r="J21" s="782"/>
      <c r="K21" s="39"/>
      <c r="L21" s="367"/>
      <c r="M21" s="367"/>
      <c r="N21" s="367"/>
      <c r="O21" s="367"/>
      <c r="P21" s="367"/>
      <c r="Q21" s="367"/>
      <c r="R21" s="367"/>
      <c r="S21" s="367"/>
      <c r="T21" s="367"/>
      <c r="U21" s="367"/>
      <c r="V21" s="367"/>
      <c r="W21" s="367"/>
      <c r="X21" s="367"/>
      <c r="Y21" s="367"/>
      <c r="Z21" s="367"/>
      <c r="AA21" s="367"/>
      <c r="AB21" s="29"/>
      <c r="AC21" s="367"/>
      <c r="AD21" s="367"/>
      <c r="AE21" s="367"/>
      <c r="AF21" s="367"/>
      <c r="AG21" s="367"/>
      <c r="AH21" s="367"/>
      <c r="AI21" s="367"/>
      <c r="AJ21" s="367"/>
      <c r="AK21" s="367"/>
      <c r="AL21" s="367"/>
      <c r="AM21" s="367"/>
      <c r="AN21" s="367"/>
      <c r="AO21" s="367"/>
      <c r="AP21" s="367"/>
      <c r="AQ21" s="367"/>
      <c r="AR21" s="367"/>
      <c r="AS21" s="367"/>
      <c r="AT21" s="367"/>
      <c r="AU21" s="367"/>
      <c r="AV21" s="367"/>
      <c r="AW21" s="367"/>
      <c r="AX21" s="367"/>
      <c r="AY21" s="367"/>
      <c r="AZ21" s="367"/>
    </row>
    <row r="22" spans="2:52" ht="94.5" hidden="1" customHeight="1" outlineLevel="1" x14ac:dyDescent="0.25">
      <c r="B22" s="39"/>
      <c r="C22" s="790" t="s">
        <v>416</v>
      </c>
      <c r="D22" s="790"/>
      <c r="E22" s="370"/>
      <c r="F22" s="779" t="s">
        <v>417</v>
      </c>
      <c r="G22" s="779"/>
      <c r="H22" s="779"/>
      <c r="I22" s="779"/>
      <c r="J22" s="779"/>
      <c r="K22" s="39"/>
      <c r="L22" s="367"/>
      <c r="M22" s="367"/>
      <c r="N22" s="367"/>
      <c r="O22" s="367"/>
      <c r="P22" s="367"/>
      <c r="Q22" s="367"/>
      <c r="R22" s="367"/>
      <c r="S22" s="367"/>
      <c r="T22" s="367"/>
      <c r="U22" s="367"/>
      <c r="V22" s="367"/>
      <c r="W22" s="367"/>
      <c r="X22" s="367"/>
      <c r="Y22" s="367"/>
      <c r="Z22" s="367"/>
      <c r="AA22" s="367"/>
      <c r="AB22" s="29"/>
      <c r="AC22" s="367"/>
      <c r="AD22" s="367"/>
      <c r="AE22" s="367"/>
      <c r="AF22" s="367"/>
      <c r="AG22" s="367"/>
      <c r="AH22" s="367"/>
      <c r="AI22" s="367"/>
      <c r="AJ22" s="367"/>
      <c r="AK22" s="367"/>
      <c r="AL22" s="367"/>
      <c r="AM22" s="367"/>
      <c r="AN22" s="367"/>
      <c r="AO22" s="367"/>
      <c r="AP22" s="367"/>
      <c r="AQ22" s="367"/>
      <c r="AR22" s="367"/>
      <c r="AS22" s="367"/>
      <c r="AT22" s="367"/>
      <c r="AU22" s="367"/>
      <c r="AV22" s="367"/>
      <c r="AW22" s="367"/>
      <c r="AX22" s="367"/>
      <c r="AY22" s="367"/>
      <c r="AZ22" s="367"/>
    </row>
    <row r="23" spans="2:52" ht="16.5" collapsed="1" thickBot="1" x14ac:dyDescent="0.3">
      <c r="B23" s="39"/>
      <c r="C23"/>
      <c r="D23"/>
      <c r="E23"/>
      <c r="F23"/>
      <c r="G23"/>
      <c r="H23"/>
      <c r="I23"/>
      <c r="J23"/>
      <c r="K23"/>
      <c r="L23" s="367"/>
      <c r="M23" s="367"/>
      <c r="N23" s="367"/>
      <c r="O23" s="367"/>
      <c r="P23" s="367"/>
      <c r="Q23" s="367"/>
      <c r="R23" s="367"/>
      <c r="S23" s="367"/>
      <c r="T23" s="367"/>
      <c r="U23" s="367"/>
      <c r="V23" s="367"/>
      <c r="W23" s="367"/>
      <c r="X23" s="367"/>
      <c r="Y23" s="367"/>
      <c r="Z23" s="367"/>
      <c r="AA23" s="367"/>
      <c r="AB23" s="29"/>
      <c r="AC23" s="367"/>
      <c r="AD23" s="367"/>
      <c r="AE23" s="367"/>
      <c r="AF23" s="367"/>
      <c r="AG23" s="367"/>
      <c r="AH23" s="367"/>
      <c r="AI23" s="367"/>
      <c r="AJ23" s="367"/>
      <c r="AK23" s="367"/>
      <c r="AL23" s="367"/>
      <c r="AM23" s="367"/>
      <c r="AN23" s="367"/>
      <c r="AO23" s="367"/>
      <c r="AP23" s="367"/>
      <c r="AQ23" s="367"/>
      <c r="AR23" s="367"/>
      <c r="AS23" s="367"/>
      <c r="AT23" s="367"/>
      <c r="AU23" s="367"/>
      <c r="AV23" s="367"/>
      <c r="AW23" s="367"/>
      <c r="AX23" s="367"/>
      <c r="AY23" s="367"/>
      <c r="AZ23" s="367"/>
    </row>
    <row r="24" spans="2:52" ht="16.5" thickTop="1" x14ac:dyDescent="0.25">
      <c r="B24" s="39"/>
      <c r="C24" s="778" t="s">
        <v>418</v>
      </c>
      <c r="D24" s="778"/>
      <c r="E24" s="778"/>
      <c r="F24" s="778"/>
      <c r="G24" s="778"/>
      <c r="H24" s="778"/>
      <c r="I24" s="778"/>
      <c r="J24" s="778"/>
      <c r="K24" s="778"/>
      <c r="L24" s="367"/>
      <c r="M24" s="367"/>
      <c r="N24" s="367"/>
      <c r="O24" s="367"/>
      <c r="P24" s="367"/>
      <c r="Q24" s="367"/>
      <c r="R24" s="367"/>
      <c r="S24" s="367"/>
      <c r="T24" s="367"/>
      <c r="U24" s="367"/>
      <c r="V24" s="367"/>
      <c r="W24" s="367"/>
      <c r="X24" s="367"/>
      <c r="Y24" s="367"/>
      <c r="Z24" s="367"/>
      <c r="AA24" s="367"/>
      <c r="AB24" s="29"/>
      <c r="AC24" s="367"/>
      <c r="AD24" s="367"/>
      <c r="AE24" s="367"/>
      <c r="AF24" s="367"/>
      <c r="AG24" s="367"/>
      <c r="AH24" s="367"/>
      <c r="AI24" s="367"/>
      <c r="AJ24" s="367"/>
      <c r="AK24" s="367"/>
      <c r="AL24" s="367"/>
      <c r="AM24" s="367"/>
      <c r="AN24" s="367"/>
      <c r="AO24" s="367"/>
      <c r="AP24" s="367"/>
      <c r="AQ24" s="367"/>
      <c r="AR24" s="367"/>
      <c r="AS24" s="367"/>
      <c r="AT24" s="367"/>
      <c r="AU24" s="367"/>
      <c r="AV24" s="367"/>
      <c r="AW24" s="367"/>
      <c r="AX24" s="367"/>
      <c r="AY24" s="367"/>
      <c r="AZ24" s="367"/>
    </row>
    <row r="25" spans="2:52" ht="31.5" hidden="1" customHeight="1" outlineLevel="1" x14ac:dyDescent="0.25">
      <c r="B25" s="39"/>
      <c r="C25" s="784" t="s">
        <v>419</v>
      </c>
      <c r="D25" s="784"/>
      <c r="E25" s="370"/>
      <c r="F25" s="791" t="s">
        <v>470</v>
      </c>
      <c r="G25" s="791"/>
      <c r="H25" s="791"/>
      <c r="I25" s="791"/>
      <c r="J25" s="791"/>
      <c r="K25" s="39"/>
      <c r="L25" s="367"/>
      <c r="M25" s="367"/>
      <c r="N25" s="367"/>
      <c r="O25" s="367"/>
      <c r="P25" s="367"/>
      <c r="Q25" s="367"/>
      <c r="R25" s="367"/>
      <c r="S25" s="367"/>
      <c r="T25" s="367"/>
      <c r="U25" s="367"/>
      <c r="V25" s="367"/>
      <c r="W25" s="367"/>
      <c r="X25" s="367"/>
      <c r="Y25" s="367"/>
      <c r="Z25" s="367"/>
      <c r="AA25" s="367"/>
      <c r="AB25" s="29"/>
      <c r="AC25" s="367"/>
      <c r="AD25" s="367"/>
      <c r="AE25" s="367"/>
      <c r="AF25" s="367"/>
      <c r="AG25" s="367"/>
      <c r="AH25" s="367"/>
      <c r="AI25" s="367"/>
      <c r="AJ25" s="367"/>
      <c r="AK25" s="367"/>
      <c r="AL25" s="367"/>
      <c r="AM25" s="367"/>
      <c r="AN25" s="367"/>
      <c r="AO25" s="367"/>
      <c r="AP25" s="367"/>
      <c r="AQ25" s="367"/>
      <c r="AR25" s="367"/>
      <c r="AS25" s="367"/>
      <c r="AT25" s="367"/>
      <c r="AU25" s="367"/>
      <c r="AV25" s="367"/>
      <c r="AW25" s="367"/>
      <c r="AX25" s="367"/>
      <c r="AY25" s="367"/>
      <c r="AZ25" s="367"/>
    </row>
    <row r="26" spans="2:52" ht="15.75" hidden="1" outlineLevel="1" x14ac:dyDescent="0.25">
      <c r="B26" s="39"/>
      <c r="C26" s="785" t="s">
        <v>420</v>
      </c>
      <c r="D26" s="785"/>
      <c r="E26" s="370"/>
      <c r="F26" s="786" t="s">
        <v>421</v>
      </c>
      <c r="G26" s="786"/>
      <c r="H26" s="786"/>
      <c r="I26" s="786"/>
      <c r="J26" s="786"/>
      <c r="K26" s="39"/>
      <c r="L26" s="367"/>
      <c r="M26" s="367"/>
      <c r="N26" s="367"/>
      <c r="O26" s="367"/>
      <c r="P26" s="367"/>
      <c r="Q26" s="367"/>
      <c r="R26" s="367"/>
      <c r="S26" s="367"/>
      <c r="T26" s="367"/>
      <c r="U26" s="367"/>
      <c r="V26" s="367"/>
      <c r="W26" s="367"/>
      <c r="X26" s="367"/>
      <c r="Y26" s="367"/>
      <c r="Z26" s="367"/>
      <c r="AA26" s="367"/>
      <c r="AB26" s="29"/>
      <c r="AC26" s="367"/>
      <c r="AD26" s="367"/>
      <c r="AE26" s="367"/>
      <c r="AF26" s="367"/>
      <c r="AG26" s="367"/>
      <c r="AH26" s="367"/>
      <c r="AI26" s="367"/>
      <c r="AJ26" s="367"/>
      <c r="AK26" s="367"/>
      <c r="AL26" s="367"/>
      <c r="AM26" s="367"/>
      <c r="AN26" s="367"/>
      <c r="AO26" s="367"/>
      <c r="AP26" s="367"/>
      <c r="AQ26" s="367"/>
      <c r="AR26" s="367"/>
      <c r="AS26" s="367"/>
      <c r="AT26" s="367"/>
      <c r="AU26" s="367"/>
      <c r="AV26" s="367"/>
      <c r="AW26" s="367"/>
      <c r="AX26" s="367"/>
      <c r="AY26" s="367"/>
      <c r="AZ26" s="367"/>
    </row>
    <row r="27" spans="2:52" ht="45.75" hidden="1" customHeight="1" outlineLevel="1" x14ac:dyDescent="0.25">
      <c r="B27" s="39"/>
      <c r="C27" s="792" t="s">
        <v>422</v>
      </c>
      <c r="D27" s="792"/>
      <c r="E27" s="370"/>
      <c r="F27" s="793" t="s">
        <v>423</v>
      </c>
      <c r="G27" s="793"/>
      <c r="H27" s="793"/>
      <c r="I27" s="793"/>
      <c r="J27" s="793"/>
      <c r="K27" s="39"/>
      <c r="L27" s="367"/>
      <c r="M27" s="367"/>
      <c r="N27" s="367"/>
      <c r="O27" s="367"/>
      <c r="P27" s="367"/>
      <c r="Q27" s="367"/>
      <c r="R27" s="367"/>
      <c r="S27" s="367"/>
      <c r="T27" s="367"/>
      <c r="U27" s="367"/>
      <c r="V27" s="367"/>
      <c r="W27" s="367"/>
      <c r="X27" s="367"/>
      <c r="Y27" s="367"/>
      <c r="Z27" s="367"/>
      <c r="AA27" s="367"/>
      <c r="AB27" s="29"/>
      <c r="AC27" s="367"/>
      <c r="AD27" s="367"/>
      <c r="AE27" s="367"/>
      <c r="AF27" s="367"/>
      <c r="AG27" s="367"/>
      <c r="AH27" s="367"/>
      <c r="AI27" s="367"/>
      <c r="AJ27" s="367"/>
      <c r="AK27" s="367"/>
      <c r="AL27" s="367"/>
      <c r="AM27" s="367"/>
      <c r="AN27" s="367"/>
      <c r="AO27" s="367"/>
      <c r="AP27" s="367"/>
      <c r="AQ27" s="367"/>
      <c r="AR27" s="367"/>
      <c r="AS27" s="367"/>
      <c r="AT27" s="367"/>
      <c r="AU27" s="367"/>
      <c r="AV27" s="367"/>
      <c r="AW27" s="367"/>
      <c r="AX27" s="367"/>
      <c r="AY27" s="367"/>
      <c r="AZ27" s="367"/>
    </row>
    <row r="28" spans="2:52" ht="15.75" hidden="1" outlineLevel="1" x14ac:dyDescent="0.25">
      <c r="B28" s="39"/>
      <c r="C28" s="789" t="s">
        <v>424</v>
      </c>
      <c r="D28" s="789"/>
      <c r="E28" s="370"/>
      <c r="F28" s="794" t="s">
        <v>425</v>
      </c>
      <c r="G28" s="794"/>
      <c r="H28" s="794"/>
      <c r="I28" s="794"/>
      <c r="J28" s="794"/>
      <c r="K28" s="39"/>
      <c r="L28" s="367"/>
      <c r="M28" s="367"/>
      <c r="N28" s="367"/>
      <c r="O28" s="367"/>
      <c r="P28" s="367"/>
      <c r="Q28" s="367"/>
      <c r="R28" s="367"/>
      <c r="S28" s="367"/>
      <c r="T28" s="367"/>
      <c r="U28" s="367"/>
      <c r="V28" s="367"/>
      <c r="W28" s="367"/>
      <c r="X28" s="367"/>
      <c r="Y28" s="367"/>
      <c r="Z28" s="367"/>
      <c r="AA28" s="367"/>
      <c r="AB28" s="29"/>
      <c r="AC28" s="367"/>
      <c r="AD28" s="367"/>
      <c r="AE28" s="367"/>
      <c r="AF28" s="367"/>
      <c r="AG28" s="367"/>
      <c r="AH28" s="367"/>
      <c r="AI28" s="367"/>
      <c r="AJ28" s="367"/>
      <c r="AK28" s="367"/>
      <c r="AL28" s="367"/>
      <c r="AM28" s="367"/>
      <c r="AN28" s="367"/>
      <c r="AO28" s="367"/>
      <c r="AP28" s="367"/>
      <c r="AQ28" s="367"/>
      <c r="AR28" s="367"/>
      <c r="AS28" s="367"/>
      <c r="AT28" s="367"/>
      <c r="AU28" s="367"/>
      <c r="AV28" s="367"/>
      <c r="AW28" s="367"/>
      <c r="AX28" s="367"/>
      <c r="AY28" s="367"/>
      <c r="AZ28" s="367"/>
    </row>
    <row r="29" spans="2:52" ht="30.75" hidden="1" customHeight="1" outlineLevel="1" x14ac:dyDescent="0.25">
      <c r="B29" s="39"/>
      <c r="C29" s="792" t="s">
        <v>426</v>
      </c>
      <c r="D29" s="792"/>
      <c r="E29" s="370"/>
      <c r="F29" s="793" t="s">
        <v>427</v>
      </c>
      <c r="G29" s="793"/>
      <c r="H29" s="793"/>
      <c r="I29" s="793"/>
      <c r="J29" s="793"/>
      <c r="K29" s="39"/>
      <c r="L29" s="367"/>
      <c r="M29" s="367"/>
      <c r="N29" s="367"/>
      <c r="O29" s="367"/>
      <c r="P29" s="367"/>
      <c r="Q29" s="367"/>
      <c r="R29" s="367"/>
      <c r="S29" s="367"/>
      <c r="T29" s="367"/>
      <c r="U29" s="367"/>
      <c r="V29" s="367"/>
      <c r="W29" s="367"/>
      <c r="X29" s="367"/>
      <c r="Y29" s="367"/>
      <c r="Z29" s="367"/>
      <c r="AA29" s="367"/>
      <c r="AB29" s="29"/>
      <c r="AC29" s="367"/>
      <c r="AD29" s="367"/>
      <c r="AE29" s="367"/>
      <c r="AF29" s="367"/>
      <c r="AG29" s="367"/>
      <c r="AH29" s="367"/>
      <c r="AI29" s="367"/>
      <c r="AJ29" s="367"/>
      <c r="AK29" s="367"/>
      <c r="AL29" s="367"/>
      <c r="AM29" s="367"/>
      <c r="AN29" s="367"/>
      <c r="AO29" s="367"/>
      <c r="AP29" s="367"/>
      <c r="AQ29" s="367"/>
      <c r="AR29" s="367"/>
      <c r="AS29" s="367"/>
      <c r="AT29" s="367"/>
      <c r="AU29" s="367"/>
      <c r="AV29" s="367"/>
      <c r="AW29" s="367"/>
      <c r="AX29" s="367"/>
      <c r="AY29" s="367"/>
      <c r="AZ29" s="367"/>
    </row>
    <row r="30" spans="2:52" ht="15.75" hidden="1" outlineLevel="1" x14ac:dyDescent="0.25">
      <c r="B30" s="39"/>
      <c r="C30" s="781" t="s">
        <v>428</v>
      </c>
      <c r="D30" s="781"/>
      <c r="E30" s="370"/>
      <c r="F30" s="794" t="s">
        <v>429</v>
      </c>
      <c r="G30" s="794"/>
      <c r="H30" s="794"/>
      <c r="I30" s="794"/>
      <c r="J30" s="794"/>
      <c r="K30" s="39"/>
      <c r="L30" s="367"/>
      <c r="M30" s="367"/>
      <c r="N30" s="367"/>
      <c r="O30" s="367"/>
      <c r="P30" s="367"/>
      <c r="Q30" s="367"/>
      <c r="R30" s="367"/>
      <c r="S30" s="367"/>
      <c r="T30" s="367"/>
      <c r="U30" s="367"/>
      <c r="V30" s="367"/>
      <c r="W30" s="367"/>
      <c r="X30" s="367"/>
      <c r="Y30" s="367"/>
      <c r="Z30" s="367"/>
      <c r="AA30" s="367"/>
      <c r="AB30" s="29"/>
      <c r="AC30" s="367"/>
      <c r="AD30" s="367"/>
      <c r="AE30" s="367"/>
      <c r="AF30" s="367"/>
      <c r="AG30" s="367"/>
      <c r="AH30" s="367"/>
      <c r="AI30" s="367"/>
      <c r="AJ30" s="367"/>
      <c r="AK30" s="367"/>
      <c r="AL30" s="367"/>
      <c r="AM30" s="367"/>
      <c r="AN30" s="367"/>
      <c r="AO30" s="367"/>
      <c r="AP30" s="367"/>
      <c r="AQ30" s="367"/>
      <c r="AR30" s="367"/>
      <c r="AS30" s="367"/>
      <c r="AT30" s="367"/>
      <c r="AU30" s="367"/>
      <c r="AV30" s="367"/>
      <c r="AW30" s="367"/>
      <c r="AX30" s="367"/>
      <c r="AY30" s="367"/>
      <c r="AZ30" s="367"/>
    </row>
    <row r="31" spans="2:52" ht="30.75" hidden="1" customHeight="1" outlineLevel="1" x14ac:dyDescent="0.25">
      <c r="B31" s="39"/>
      <c r="C31" s="795" t="s">
        <v>430</v>
      </c>
      <c r="D31" s="795"/>
      <c r="E31" s="370"/>
      <c r="F31" s="793" t="s">
        <v>431</v>
      </c>
      <c r="G31" s="793"/>
      <c r="H31" s="793"/>
      <c r="I31" s="793"/>
      <c r="J31" s="793"/>
      <c r="K31" s="39"/>
      <c r="L31" s="367"/>
      <c r="M31" s="367"/>
      <c r="N31" s="367"/>
      <c r="O31" s="367"/>
      <c r="P31" s="367"/>
      <c r="Q31" s="367"/>
      <c r="R31" s="367"/>
      <c r="S31" s="367"/>
      <c r="T31" s="367"/>
      <c r="U31" s="367"/>
      <c r="V31" s="367"/>
      <c r="W31" s="367"/>
      <c r="X31" s="367"/>
      <c r="Y31" s="367"/>
      <c r="Z31" s="367"/>
      <c r="AA31" s="367"/>
      <c r="AB31" s="29"/>
      <c r="AC31" s="367"/>
      <c r="AD31" s="367"/>
      <c r="AE31" s="367"/>
      <c r="AF31" s="367"/>
      <c r="AG31" s="367"/>
      <c r="AH31" s="367"/>
      <c r="AI31" s="367"/>
      <c r="AJ31" s="367"/>
      <c r="AK31" s="367"/>
      <c r="AL31" s="367"/>
      <c r="AM31" s="367"/>
      <c r="AN31" s="367"/>
      <c r="AO31" s="367"/>
      <c r="AP31" s="367"/>
      <c r="AQ31" s="367"/>
      <c r="AR31" s="367"/>
      <c r="AS31" s="367"/>
      <c r="AT31" s="367"/>
      <c r="AU31" s="367"/>
      <c r="AV31" s="367"/>
      <c r="AW31" s="367"/>
      <c r="AX31" s="367"/>
      <c r="AY31" s="367"/>
      <c r="AZ31" s="367"/>
    </row>
    <row r="32" spans="2:52" ht="32.25" hidden="1" customHeight="1" outlineLevel="1" x14ac:dyDescent="0.25">
      <c r="B32" s="39"/>
      <c r="C32" s="787" t="s">
        <v>432</v>
      </c>
      <c r="D32" s="787"/>
      <c r="E32" s="370"/>
      <c r="F32" s="793" t="s">
        <v>433</v>
      </c>
      <c r="G32" s="793"/>
      <c r="H32" s="793"/>
      <c r="I32" s="793"/>
      <c r="J32" s="793"/>
      <c r="K32" s="39"/>
      <c r="L32" s="367"/>
      <c r="M32" s="367"/>
      <c r="N32" s="367"/>
      <c r="O32" s="367"/>
      <c r="P32" s="367"/>
      <c r="Q32" s="367"/>
      <c r="R32" s="367"/>
      <c r="S32" s="367"/>
      <c r="T32" s="367"/>
      <c r="U32" s="367"/>
      <c r="V32" s="367"/>
      <c r="W32" s="367"/>
      <c r="X32" s="367"/>
      <c r="Y32" s="367"/>
      <c r="Z32" s="367"/>
      <c r="AA32" s="367"/>
      <c r="AB32" s="29"/>
      <c r="AC32" s="367"/>
      <c r="AD32" s="367"/>
      <c r="AE32" s="367"/>
      <c r="AF32" s="367"/>
      <c r="AG32" s="367"/>
      <c r="AH32" s="367"/>
      <c r="AI32" s="367"/>
      <c r="AJ32" s="367"/>
      <c r="AK32" s="367"/>
      <c r="AL32" s="367"/>
      <c r="AM32" s="367"/>
      <c r="AN32" s="367"/>
      <c r="AO32" s="367"/>
      <c r="AP32" s="367"/>
      <c r="AQ32" s="367"/>
      <c r="AR32" s="367"/>
      <c r="AS32" s="367"/>
      <c r="AT32" s="367"/>
      <c r="AU32" s="367"/>
      <c r="AV32" s="367"/>
      <c r="AW32" s="367"/>
      <c r="AX32" s="367"/>
      <c r="AY32" s="367"/>
      <c r="AZ32" s="367"/>
    </row>
    <row r="33" spans="2:52" ht="30" hidden="1" customHeight="1" outlineLevel="1" x14ac:dyDescent="0.25">
      <c r="B33" s="39"/>
      <c r="C33" s="792" t="s">
        <v>434</v>
      </c>
      <c r="D33" s="792"/>
      <c r="E33" s="370"/>
      <c r="F33" s="793">
        <v>8221</v>
      </c>
      <c r="G33" s="793"/>
      <c r="H33" s="793"/>
      <c r="I33" s="793"/>
      <c r="J33" s="793"/>
      <c r="K33" s="39"/>
      <c r="L33" s="367"/>
      <c r="M33" s="367"/>
      <c r="N33" s="367"/>
      <c r="O33" s="367"/>
      <c r="P33" s="367"/>
      <c r="Q33" s="367"/>
      <c r="R33" s="367"/>
      <c r="S33" s="367"/>
      <c r="T33" s="367"/>
      <c r="U33" s="367"/>
      <c r="V33" s="367"/>
      <c r="W33" s="367"/>
      <c r="X33" s="367"/>
      <c r="Y33" s="367"/>
      <c r="Z33" s="367"/>
      <c r="AA33" s="367"/>
      <c r="AB33" s="29"/>
      <c r="AC33" s="367"/>
      <c r="AD33" s="367"/>
      <c r="AE33" s="367"/>
      <c r="AF33" s="367"/>
      <c r="AG33" s="367"/>
      <c r="AH33" s="367"/>
      <c r="AI33" s="367"/>
      <c r="AJ33" s="367"/>
      <c r="AK33" s="367"/>
      <c r="AL33" s="367"/>
      <c r="AM33" s="367"/>
      <c r="AN33" s="367"/>
      <c r="AO33" s="367"/>
      <c r="AP33" s="367"/>
      <c r="AQ33" s="367"/>
      <c r="AR33" s="367"/>
      <c r="AS33" s="367"/>
      <c r="AT33" s="367"/>
      <c r="AU33" s="367"/>
      <c r="AV33" s="367"/>
      <c r="AW33" s="367"/>
      <c r="AX33" s="367"/>
      <c r="AY33" s="367"/>
      <c r="AZ33" s="367"/>
    </row>
    <row r="34" spans="2:52" ht="62.25" hidden="1" customHeight="1" outlineLevel="1" x14ac:dyDescent="0.25">
      <c r="B34" s="39"/>
      <c r="C34" s="795" t="s">
        <v>435</v>
      </c>
      <c r="D34" s="795"/>
      <c r="E34" s="370"/>
      <c r="F34" s="793">
        <v>611310</v>
      </c>
      <c r="G34" s="793"/>
      <c r="H34" s="793"/>
      <c r="I34" s="793"/>
      <c r="J34" s="793"/>
      <c r="K34" s="39"/>
      <c r="L34" s="367"/>
      <c r="M34" s="367"/>
      <c r="N34" s="367"/>
      <c r="O34" s="367"/>
      <c r="P34" s="367"/>
      <c r="Q34" s="367"/>
      <c r="R34" s="367"/>
      <c r="S34" s="367"/>
      <c r="T34" s="367"/>
      <c r="U34" s="367"/>
      <c r="V34" s="367"/>
      <c r="W34" s="367"/>
      <c r="X34" s="367"/>
      <c r="Y34" s="367"/>
      <c r="Z34" s="367"/>
      <c r="AA34" s="367"/>
      <c r="AB34" s="29"/>
      <c r="AC34" s="367"/>
      <c r="AD34" s="367"/>
      <c r="AE34" s="367"/>
      <c r="AF34" s="367"/>
      <c r="AG34" s="367"/>
      <c r="AH34" s="367"/>
      <c r="AI34" s="367"/>
      <c r="AJ34" s="367"/>
      <c r="AK34" s="367"/>
      <c r="AL34" s="367"/>
      <c r="AM34" s="367"/>
      <c r="AN34" s="367"/>
      <c r="AO34" s="367"/>
      <c r="AP34" s="367"/>
      <c r="AQ34" s="367"/>
      <c r="AR34" s="367"/>
      <c r="AS34" s="367"/>
      <c r="AT34" s="367"/>
      <c r="AU34" s="367"/>
      <c r="AV34" s="367"/>
      <c r="AW34" s="367"/>
      <c r="AX34" s="367"/>
      <c r="AY34" s="367"/>
      <c r="AZ34" s="367"/>
    </row>
    <row r="35" spans="2:52" ht="33" hidden="1" customHeight="1" outlineLevel="1" x14ac:dyDescent="0.25">
      <c r="B35" s="39"/>
      <c r="C35" s="792" t="s">
        <v>436</v>
      </c>
      <c r="D35" s="792"/>
      <c r="E35" s="370"/>
      <c r="F35" s="794" t="s">
        <v>437</v>
      </c>
      <c r="G35" s="794"/>
      <c r="H35" s="794"/>
      <c r="I35" s="794"/>
      <c r="J35" s="794"/>
      <c r="K35" s="39"/>
      <c r="L35" s="367"/>
      <c r="M35" s="367"/>
      <c r="N35" s="367"/>
      <c r="O35" s="367"/>
      <c r="P35" s="367"/>
      <c r="Q35" s="367"/>
      <c r="R35" s="367"/>
      <c r="S35" s="367"/>
      <c r="T35" s="367"/>
      <c r="U35" s="367"/>
      <c r="V35" s="367"/>
      <c r="W35" s="367"/>
      <c r="X35" s="367"/>
      <c r="Y35" s="367"/>
      <c r="Z35" s="367"/>
      <c r="AA35" s="367"/>
      <c r="AB35" s="29"/>
      <c r="AC35" s="367"/>
      <c r="AD35" s="367"/>
      <c r="AE35" s="367"/>
      <c r="AF35" s="367"/>
      <c r="AG35" s="367"/>
      <c r="AH35" s="367"/>
      <c r="AI35" s="367"/>
      <c r="AJ35" s="367"/>
      <c r="AK35" s="367"/>
      <c r="AL35" s="367"/>
      <c r="AM35" s="367"/>
      <c r="AN35" s="367"/>
      <c r="AO35" s="367"/>
      <c r="AP35" s="367"/>
      <c r="AQ35" s="367"/>
      <c r="AR35" s="367"/>
      <c r="AS35" s="367"/>
      <c r="AT35" s="367"/>
      <c r="AU35" s="367"/>
      <c r="AV35" s="367"/>
      <c r="AW35" s="367"/>
      <c r="AX35" s="367"/>
      <c r="AY35" s="367"/>
      <c r="AZ35" s="367"/>
    </row>
    <row r="36" spans="2:52" ht="31.5" hidden="1" customHeight="1" outlineLevel="1" x14ac:dyDescent="0.25">
      <c r="B36" s="39"/>
      <c r="C36" s="792" t="s">
        <v>438</v>
      </c>
      <c r="D36" s="792"/>
      <c r="E36" s="370"/>
      <c r="F36" s="793" t="s">
        <v>439</v>
      </c>
      <c r="G36" s="793"/>
      <c r="H36" s="793"/>
      <c r="I36" s="793"/>
      <c r="J36" s="793"/>
      <c r="K36" s="39"/>
      <c r="L36" s="367"/>
      <c r="M36" s="367"/>
      <c r="N36" s="367"/>
      <c r="O36" s="367"/>
      <c r="P36" s="367"/>
      <c r="Q36" s="367"/>
      <c r="R36" s="367"/>
      <c r="S36" s="367"/>
      <c r="T36" s="367"/>
      <c r="U36" s="367"/>
      <c r="V36" s="367"/>
      <c r="W36" s="367"/>
      <c r="X36" s="367"/>
      <c r="Y36" s="367"/>
      <c r="Z36" s="367"/>
      <c r="AA36" s="367"/>
      <c r="AB36" s="29"/>
      <c r="AC36" s="367"/>
      <c r="AD36" s="367"/>
      <c r="AE36" s="367"/>
      <c r="AF36" s="367"/>
      <c r="AG36" s="367"/>
      <c r="AH36" s="367"/>
      <c r="AI36" s="367"/>
      <c r="AJ36" s="367"/>
      <c r="AK36" s="367"/>
      <c r="AL36" s="367"/>
      <c r="AM36" s="367"/>
      <c r="AN36" s="367"/>
      <c r="AO36" s="367"/>
      <c r="AP36" s="367"/>
      <c r="AQ36" s="367"/>
      <c r="AR36" s="367"/>
      <c r="AS36" s="367"/>
      <c r="AT36" s="367"/>
      <c r="AU36" s="367"/>
      <c r="AV36" s="367"/>
      <c r="AW36" s="367"/>
      <c r="AX36" s="367"/>
      <c r="AY36" s="367"/>
      <c r="AZ36" s="367"/>
    </row>
    <row r="37" spans="2:52" ht="30.75" hidden="1" customHeight="1" outlineLevel="1" x14ac:dyDescent="0.25">
      <c r="B37" s="39"/>
      <c r="C37" s="795" t="s">
        <v>440</v>
      </c>
      <c r="D37" s="795"/>
      <c r="E37" s="370"/>
      <c r="F37" s="794" t="s">
        <v>441</v>
      </c>
      <c r="G37" s="794"/>
      <c r="H37" s="794"/>
      <c r="I37" s="794"/>
      <c r="J37" s="794"/>
      <c r="K37" s="39"/>
      <c r="L37" s="367"/>
      <c r="M37" s="367"/>
      <c r="N37" s="367"/>
      <c r="O37" s="367"/>
      <c r="P37" s="367"/>
      <c r="Q37" s="367"/>
      <c r="R37" s="367"/>
      <c r="S37" s="367"/>
      <c r="T37" s="367"/>
      <c r="U37" s="367"/>
      <c r="V37" s="367"/>
      <c r="W37" s="367"/>
      <c r="X37" s="367"/>
      <c r="Y37" s="367"/>
      <c r="Z37" s="367"/>
      <c r="AA37" s="367"/>
      <c r="AB37" s="29"/>
      <c r="AC37" s="367"/>
      <c r="AD37" s="367"/>
      <c r="AE37" s="367"/>
      <c r="AF37" s="367"/>
      <c r="AG37" s="367"/>
      <c r="AH37" s="367"/>
      <c r="AI37" s="367"/>
      <c r="AJ37" s="367"/>
      <c r="AK37" s="367"/>
      <c r="AL37" s="367"/>
      <c r="AM37" s="367"/>
      <c r="AN37" s="367"/>
      <c r="AO37" s="367"/>
      <c r="AP37" s="367"/>
      <c r="AQ37" s="367"/>
      <c r="AR37" s="367"/>
      <c r="AS37" s="367"/>
      <c r="AT37" s="367"/>
      <c r="AU37" s="367"/>
      <c r="AV37" s="367"/>
      <c r="AW37" s="367"/>
      <c r="AX37" s="367"/>
      <c r="AY37" s="367"/>
      <c r="AZ37" s="367"/>
    </row>
    <row r="38" spans="2:52" ht="15" hidden="1" customHeight="1" outlineLevel="1" x14ac:dyDescent="0.25">
      <c r="B38" s="145"/>
      <c r="C38" s="781" t="s">
        <v>442</v>
      </c>
      <c r="D38" s="781"/>
      <c r="E38" s="370"/>
      <c r="F38" s="793" t="s">
        <v>443</v>
      </c>
      <c r="G38" s="793"/>
      <c r="H38" s="793"/>
      <c r="I38" s="793"/>
      <c r="J38" s="793"/>
      <c r="K38" s="39"/>
      <c r="L38" s="367"/>
      <c r="M38" s="367"/>
      <c r="N38" s="367"/>
      <c r="O38" s="367"/>
      <c r="P38" s="367"/>
      <c r="Q38" s="367"/>
      <c r="R38" s="367"/>
      <c r="S38" s="367"/>
      <c r="T38" s="367"/>
      <c r="U38" s="367"/>
      <c r="V38" s="367"/>
      <c r="W38" s="367"/>
      <c r="X38" s="367"/>
      <c r="Y38" s="367"/>
      <c r="Z38" s="367"/>
      <c r="AA38" s="367"/>
      <c r="AB38" s="29"/>
      <c r="AC38" s="367"/>
      <c r="AD38" s="367"/>
      <c r="AE38" s="367"/>
      <c r="AF38" s="367"/>
      <c r="AG38" s="367"/>
      <c r="AH38" s="367"/>
      <c r="AI38" s="367"/>
      <c r="AJ38" s="367"/>
      <c r="AK38" s="367"/>
      <c r="AL38" s="367"/>
      <c r="AM38" s="367"/>
      <c r="AN38" s="367"/>
      <c r="AO38" s="367"/>
      <c r="AP38" s="367"/>
      <c r="AQ38" s="367"/>
      <c r="AR38" s="367"/>
      <c r="AS38" s="367"/>
      <c r="AT38" s="367"/>
      <c r="AU38" s="367"/>
      <c r="AV38" s="367"/>
      <c r="AW38" s="367"/>
      <c r="AX38" s="367"/>
      <c r="AY38" s="367"/>
      <c r="AZ38" s="367"/>
    </row>
    <row r="39" spans="2:52" ht="15.75" hidden="1" outlineLevel="1" x14ac:dyDescent="0.25">
      <c r="B39" s="145"/>
      <c r="C39" s="781" t="s">
        <v>444</v>
      </c>
      <c r="D39" s="781"/>
      <c r="E39" s="371"/>
      <c r="F39" s="793">
        <v>1876</v>
      </c>
      <c r="G39" s="793"/>
      <c r="H39" s="793"/>
      <c r="I39" s="793"/>
      <c r="J39" s="793"/>
      <c r="K39" s="145"/>
      <c r="L39" s="367"/>
      <c r="M39" s="367"/>
      <c r="N39" s="367"/>
      <c r="O39" s="367"/>
      <c r="P39" s="367"/>
      <c r="Q39" s="367"/>
      <c r="R39" s="367"/>
      <c r="S39" s="367"/>
      <c r="T39" s="367"/>
      <c r="U39" s="367"/>
      <c r="V39" s="367"/>
      <c r="W39" s="367"/>
      <c r="X39" s="367"/>
      <c r="Y39" s="367"/>
      <c r="Z39" s="367"/>
      <c r="AA39" s="367"/>
      <c r="AB39" s="29"/>
      <c r="AC39" s="367"/>
      <c r="AD39" s="367"/>
      <c r="AE39" s="367"/>
      <c r="AF39" s="367"/>
      <c r="AG39" s="367"/>
      <c r="AH39" s="367"/>
      <c r="AI39" s="367"/>
      <c r="AJ39" s="367"/>
      <c r="AK39" s="367"/>
      <c r="AL39" s="367"/>
      <c r="AM39" s="367"/>
      <c r="AN39" s="367"/>
      <c r="AO39" s="367"/>
      <c r="AP39" s="367"/>
      <c r="AQ39" s="367"/>
      <c r="AR39" s="367"/>
      <c r="AS39" s="367"/>
      <c r="AT39" s="367"/>
      <c r="AU39" s="367"/>
      <c r="AV39" s="367"/>
      <c r="AW39" s="367"/>
      <c r="AX39" s="367"/>
      <c r="AY39" s="367"/>
      <c r="AZ39" s="367"/>
    </row>
    <row r="40" spans="2:52" ht="15.75" hidden="1" outlineLevel="1" x14ac:dyDescent="0.25">
      <c r="B40" s="145"/>
      <c r="C40" s="781" t="s">
        <v>445</v>
      </c>
      <c r="D40" s="781"/>
      <c r="E40" s="371"/>
      <c r="F40" s="793" t="s">
        <v>446</v>
      </c>
      <c r="G40" s="793"/>
      <c r="H40" s="793"/>
      <c r="I40" s="793"/>
      <c r="J40" s="793"/>
      <c r="K40" s="145"/>
      <c r="L40" s="367"/>
      <c r="M40" s="367"/>
      <c r="N40" s="367"/>
      <c r="O40" s="367"/>
      <c r="P40" s="367"/>
      <c r="Q40" s="367"/>
      <c r="R40" s="367"/>
      <c r="S40" s="367"/>
      <c r="T40" s="367"/>
      <c r="U40" s="367"/>
      <c r="V40" s="367"/>
      <c r="W40" s="367"/>
      <c r="X40" s="367"/>
      <c r="Y40" s="367"/>
      <c r="Z40" s="367"/>
      <c r="AA40" s="367"/>
      <c r="AB40" s="29"/>
      <c r="AC40" s="367"/>
      <c r="AD40" s="367"/>
      <c r="AE40" s="367"/>
      <c r="AF40" s="367"/>
      <c r="AG40" s="367"/>
      <c r="AH40" s="367"/>
      <c r="AI40" s="367"/>
      <c r="AJ40" s="367"/>
      <c r="AK40" s="367"/>
      <c r="AL40" s="367"/>
      <c r="AM40" s="367"/>
      <c r="AN40" s="367"/>
      <c r="AO40" s="367"/>
      <c r="AP40" s="367"/>
      <c r="AQ40" s="367"/>
      <c r="AR40" s="367"/>
      <c r="AS40" s="367"/>
      <c r="AT40" s="367"/>
      <c r="AU40" s="367"/>
      <c r="AV40" s="367"/>
      <c r="AW40" s="367"/>
      <c r="AX40" s="367"/>
      <c r="AY40" s="367"/>
      <c r="AZ40" s="367"/>
    </row>
    <row r="41" spans="2:52" ht="45.75" hidden="1" customHeight="1" outlineLevel="1" x14ac:dyDescent="0.25">
      <c r="B41" s="145"/>
      <c r="C41" s="795" t="s">
        <v>447</v>
      </c>
      <c r="D41" s="795"/>
      <c r="E41" s="371"/>
      <c r="F41" s="794" t="s">
        <v>448</v>
      </c>
      <c r="G41" s="794"/>
      <c r="H41" s="794"/>
      <c r="I41" s="794"/>
      <c r="J41" s="794"/>
      <c r="K41" s="145"/>
      <c r="L41" s="367"/>
      <c r="M41" s="367"/>
      <c r="N41" s="367"/>
      <c r="O41" s="367"/>
      <c r="P41" s="367"/>
      <c r="Q41" s="367"/>
      <c r="R41" s="367"/>
      <c r="S41" s="367"/>
      <c r="T41" s="367"/>
      <c r="U41" s="367"/>
      <c r="V41" s="367"/>
      <c r="W41" s="367"/>
      <c r="X41" s="367"/>
      <c r="Y41" s="367"/>
      <c r="Z41" s="367"/>
      <c r="AA41" s="367"/>
      <c r="AB41" s="29"/>
      <c r="AC41" s="367"/>
      <c r="AD41" s="367"/>
      <c r="AE41" s="367"/>
      <c r="AF41" s="367"/>
      <c r="AG41" s="367"/>
      <c r="AH41" s="367"/>
      <c r="AI41" s="367"/>
      <c r="AJ41" s="367"/>
      <c r="AK41" s="367"/>
      <c r="AL41" s="367"/>
      <c r="AM41" s="367"/>
      <c r="AN41" s="367"/>
      <c r="AO41" s="367"/>
      <c r="AP41" s="367"/>
      <c r="AQ41" s="367"/>
      <c r="AR41" s="367"/>
      <c r="AS41" s="367"/>
      <c r="AT41" s="367"/>
      <c r="AU41" s="367"/>
      <c r="AV41" s="367"/>
      <c r="AW41" s="367"/>
      <c r="AX41" s="367"/>
      <c r="AY41" s="367"/>
      <c r="AZ41" s="367"/>
    </row>
    <row r="42" spans="2:52" ht="15.75" hidden="1" outlineLevel="1" x14ac:dyDescent="0.25">
      <c r="B42" s="145"/>
      <c r="C42" s="784" t="s">
        <v>449</v>
      </c>
      <c r="D42" s="784"/>
      <c r="E42" s="371"/>
      <c r="F42" s="786" t="s">
        <v>450</v>
      </c>
      <c r="G42" s="786"/>
      <c r="H42" s="786"/>
      <c r="I42" s="786"/>
      <c r="J42" s="786"/>
      <c r="K42" s="145"/>
      <c r="L42" s="367"/>
      <c r="M42" s="367"/>
      <c r="N42" s="367"/>
      <c r="O42" s="367"/>
      <c r="P42" s="367"/>
      <c r="Q42" s="367"/>
      <c r="R42" s="367"/>
      <c r="S42" s="367"/>
      <c r="T42" s="367"/>
      <c r="U42" s="367"/>
      <c r="V42" s="367"/>
      <c r="W42" s="367"/>
      <c r="X42" s="367"/>
      <c r="Y42" s="367"/>
      <c r="Z42" s="367"/>
      <c r="AA42" s="367"/>
      <c r="AB42" s="29"/>
      <c r="AC42" s="367"/>
      <c r="AD42" s="367"/>
      <c r="AE42" s="367"/>
      <c r="AF42" s="367"/>
      <c r="AG42" s="367"/>
      <c r="AH42" s="367"/>
      <c r="AI42" s="367"/>
      <c r="AJ42" s="367"/>
      <c r="AK42" s="367"/>
      <c r="AL42" s="367"/>
      <c r="AM42" s="367"/>
      <c r="AN42" s="367"/>
      <c r="AO42" s="367"/>
      <c r="AP42" s="367"/>
      <c r="AQ42" s="367"/>
      <c r="AR42" s="367"/>
      <c r="AS42" s="367"/>
      <c r="AT42" s="367"/>
      <c r="AU42" s="367"/>
      <c r="AV42" s="367"/>
      <c r="AW42" s="367"/>
      <c r="AX42" s="367"/>
      <c r="AY42" s="367"/>
      <c r="AZ42" s="367"/>
    </row>
    <row r="43" spans="2:52" ht="15.75" hidden="1" outlineLevel="1" x14ac:dyDescent="0.25">
      <c r="B43" s="145"/>
      <c r="C43" s="784" t="s">
        <v>451</v>
      </c>
      <c r="D43" s="784"/>
      <c r="E43" s="371"/>
      <c r="F43" s="793" t="s">
        <v>452</v>
      </c>
      <c r="G43" s="793"/>
      <c r="H43" s="793"/>
      <c r="I43" s="793"/>
      <c r="J43" s="793"/>
      <c r="K43" s="145"/>
      <c r="L43" s="367"/>
      <c r="M43" s="367"/>
      <c r="N43" s="367"/>
      <c r="O43" s="367"/>
      <c r="P43" s="367"/>
      <c r="Q43" s="367"/>
      <c r="R43" s="367"/>
      <c r="S43" s="367"/>
      <c r="T43" s="367"/>
      <c r="U43" s="367"/>
      <c r="V43" s="367"/>
      <c r="W43" s="367"/>
      <c r="X43" s="367"/>
      <c r="Y43" s="367"/>
      <c r="Z43" s="367"/>
      <c r="AA43" s="367"/>
      <c r="AB43" s="29"/>
      <c r="AC43" s="367"/>
      <c r="AD43" s="367"/>
      <c r="AE43" s="367"/>
      <c r="AF43" s="367"/>
      <c r="AG43" s="367"/>
      <c r="AH43" s="367"/>
      <c r="AI43" s="367"/>
      <c r="AJ43" s="367"/>
      <c r="AK43" s="367"/>
      <c r="AL43" s="367"/>
      <c r="AM43" s="367"/>
      <c r="AN43" s="367"/>
      <c r="AO43" s="367"/>
      <c r="AP43" s="367"/>
      <c r="AQ43" s="367"/>
      <c r="AR43" s="367"/>
      <c r="AS43" s="367"/>
      <c r="AT43" s="367"/>
      <c r="AU43" s="367"/>
      <c r="AV43" s="367"/>
      <c r="AW43" s="367"/>
      <c r="AX43" s="367"/>
      <c r="AY43" s="367"/>
      <c r="AZ43" s="367"/>
    </row>
    <row r="44" spans="2:52" ht="15.75" hidden="1" outlineLevel="1" x14ac:dyDescent="0.25">
      <c r="B44" s="145"/>
      <c r="C44" s="781" t="s">
        <v>453</v>
      </c>
      <c r="D44" s="781"/>
      <c r="E44" s="371"/>
      <c r="F44" s="794">
        <v>997329751</v>
      </c>
      <c r="G44" s="794"/>
      <c r="H44" s="794"/>
      <c r="I44" s="794"/>
      <c r="J44" s="794"/>
      <c r="K44" s="145"/>
      <c r="L44" s="367"/>
      <c r="M44" s="367"/>
      <c r="N44" s="367"/>
      <c r="O44" s="367"/>
      <c r="P44" s="367"/>
      <c r="Q44" s="367"/>
      <c r="R44" s="367"/>
      <c r="S44" s="367"/>
      <c r="T44" s="367"/>
      <c r="U44" s="367"/>
      <c r="V44" s="367"/>
      <c r="W44" s="367"/>
      <c r="X44" s="367"/>
      <c r="Y44" s="367"/>
      <c r="Z44" s="367"/>
      <c r="AA44" s="367"/>
      <c r="AB44" s="29"/>
      <c r="AC44" s="367"/>
      <c r="AD44" s="367"/>
      <c r="AE44" s="367"/>
      <c r="AF44" s="367"/>
      <c r="AG44" s="367"/>
      <c r="AH44" s="367"/>
      <c r="AI44" s="367"/>
      <c r="AJ44" s="367"/>
      <c r="AK44" s="367"/>
      <c r="AL44" s="367"/>
      <c r="AM44" s="367"/>
      <c r="AN44" s="367"/>
      <c r="AO44" s="367"/>
      <c r="AP44" s="367"/>
      <c r="AQ44" s="367"/>
      <c r="AR44" s="367"/>
      <c r="AS44" s="367"/>
      <c r="AT44" s="367"/>
      <c r="AU44" s="367"/>
      <c r="AV44" s="367"/>
      <c r="AW44" s="367"/>
      <c r="AX44" s="367"/>
      <c r="AY44" s="367"/>
      <c r="AZ44" s="367"/>
    </row>
    <row r="45" spans="2:52" ht="32.25" hidden="1" customHeight="1" outlineLevel="1" x14ac:dyDescent="0.25">
      <c r="B45" s="145"/>
      <c r="C45" s="795" t="s">
        <v>454</v>
      </c>
      <c r="D45" s="795"/>
      <c r="E45" s="371"/>
      <c r="F45" s="786" t="s">
        <v>455</v>
      </c>
      <c r="G45" s="786"/>
      <c r="H45" s="786"/>
      <c r="I45" s="786"/>
      <c r="J45" s="786"/>
      <c r="K45" s="145"/>
      <c r="L45" s="367"/>
      <c r="M45" s="367"/>
      <c r="N45" s="367"/>
      <c r="O45" s="367"/>
      <c r="P45" s="367"/>
      <c r="Q45" s="367"/>
      <c r="R45" s="367"/>
      <c r="S45" s="367"/>
      <c r="T45" s="367"/>
      <c r="U45" s="367"/>
      <c r="V45" s="367"/>
      <c r="W45" s="367"/>
      <c r="X45" s="367"/>
      <c r="Y45" s="367"/>
      <c r="Z45" s="367"/>
      <c r="AA45" s="367"/>
      <c r="AB45" s="29"/>
      <c r="AC45" s="367"/>
      <c r="AD45" s="367"/>
      <c r="AE45" s="367"/>
      <c r="AF45" s="367"/>
      <c r="AG45" s="367"/>
      <c r="AH45" s="367"/>
      <c r="AI45" s="367"/>
      <c r="AJ45" s="367"/>
      <c r="AK45" s="367"/>
      <c r="AL45" s="367"/>
      <c r="AM45" s="367"/>
      <c r="AN45" s="367"/>
      <c r="AO45" s="367"/>
      <c r="AP45" s="367"/>
      <c r="AQ45" s="367"/>
      <c r="AR45" s="367"/>
      <c r="AS45" s="367"/>
      <c r="AT45" s="367"/>
      <c r="AU45" s="367"/>
      <c r="AV45" s="367"/>
      <c r="AW45" s="367"/>
      <c r="AX45" s="367"/>
      <c r="AY45" s="367"/>
      <c r="AZ45" s="367"/>
    </row>
    <row r="46" spans="2:52" ht="15.75" hidden="1" outlineLevel="1" x14ac:dyDescent="0.25">
      <c r="B46" s="145"/>
      <c r="C46" s="781" t="s">
        <v>456</v>
      </c>
      <c r="D46" s="781"/>
      <c r="E46" s="371"/>
      <c r="F46" s="793" t="s">
        <v>457</v>
      </c>
      <c r="G46" s="793"/>
      <c r="H46" s="793"/>
      <c r="I46" s="793"/>
      <c r="J46" s="793"/>
      <c r="K46" s="145"/>
      <c r="L46" s="367"/>
      <c r="M46" s="367"/>
      <c r="N46" s="367"/>
      <c r="O46" s="367"/>
      <c r="P46" s="367"/>
      <c r="Q46" s="367"/>
      <c r="R46" s="367"/>
      <c r="S46" s="367"/>
      <c r="T46" s="367"/>
      <c r="U46" s="367"/>
      <c r="V46" s="367"/>
      <c r="W46" s="367"/>
      <c r="X46" s="367"/>
      <c r="Y46" s="367"/>
      <c r="Z46" s="367"/>
      <c r="AA46" s="367"/>
      <c r="AB46" s="29"/>
      <c r="AC46" s="367"/>
      <c r="AD46" s="367"/>
      <c r="AE46" s="367"/>
      <c r="AF46" s="367"/>
      <c r="AG46" s="367"/>
      <c r="AH46" s="367"/>
      <c r="AI46" s="367"/>
      <c r="AJ46" s="367"/>
      <c r="AK46" s="367"/>
      <c r="AL46" s="367"/>
      <c r="AM46" s="367"/>
      <c r="AN46" s="367"/>
      <c r="AO46" s="367"/>
      <c r="AP46" s="367"/>
      <c r="AQ46" s="367"/>
      <c r="AR46" s="367"/>
      <c r="AS46" s="367"/>
      <c r="AT46" s="367"/>
      <c r="AU46" s="367"/>
      <c r="AV46" s="367"/>
      <c r="AW46" s="367"/>
      <c r="AX46" s="367"/>
      <c r="AY46" s="367"/>
      <c r="AZ46" s="367"/>
    </row>
    <row r="47" spans="2:52" ht="16.5" collapsed="1" thickBot="1" x14ac:dyDescent="0.3">
      <c r="B47" s="145"/>
      <c r="C47"/>
      <c r="D47"/>
      <c r="E47"/>
      <c r="F47"/>
      <c r="G47"/>
      <c r="H47"/>
      <c r="I47"/>
      <c r="J47"/>
      <c r="K47"/>
      <c r="L47" s="367"/>
      <c r="M47" s="367"/>
      <c r="N47" s="367"/>
      <c r="O47" s="367"/>
      <c r="P47" s="367"/>
      <c r="Q47" s="367"/>
      <c r="R47" s="367"/>
      <c r="S47" s="367"/>
      <c r="T47" s="367"/>
      <c r="U47" s="367"/>
      <c r="V47" s="367"/>
      <c r="W47" s="367"/>
      <c r="X47" s="367"/>
      <c r="Y47" s="367"/>
      <c r="Z47" s="367"/>
      <c r="AA47" s="367"/>
      <c r="AB47" s="29"/>
      <c r="AC47" s="367"/>
      <c r="AD47" s="367"/>
      <c r="AE47" s="367"/>
      <c r="AF47" s="367"/>
      <c r="AG47" s="367"/>
      <c r="AH47" s="367"/>
      <c r="AI47" s="367"/>
      <c r="AJ47" s="367"/>
      <c r="AK47" s="367"/>
      <c r="AL47" s="367"/>
      <c r="AM47" s="367"/>
      <c r="AN47" s="367"/>
      <c r="AO47" s="367"/>
      <c r="AP47" s="367"/>
      <c r="AQ47" s="367"/>
      <c r="AR47" s="367"/>
      <c r="AS47" s="367"/>
      <c r="AT47" s="367"/>
      <c r="AU47" s="367"/>
      <c r="AV47" s="367"/>
      <c r="AW47" s="367"/>
      <c r="AX47" s="367"/>
      <c r="AY47" s="367"/>
      <c r="AZ47" s="367"/>
    </row>
    <row r="48" spans="2:52" ht="16.5" thickTop="1" x14ac:dyDescent="0.25">
      <c r="B48" s="39"/>
      <c r="C48" s="778" t="s">
        <v>458</v>
      </c>
      <c r="D48" s="778"/>
      <c r="E48" s="778"/>
      <c r="F48" s="778"/>
      <c r="G48" s="778"/>
      <c r="H48" s="778"/>
      <c r="I48" s="778"/>
      <c r="J48" s="778"/>
      <c r="K48" s="778"/>
      <c r="L48" s="367"/>
      <c r="M48" s="367"/>
      <c r="N48" s="367"/>
      <c r="O48" s="367"/>
      <c r="P48" s="367"/>
      <c r="Q48" s="367"/>
      <c r="R48" s="367"/>
      <c r="S48" s="367"/>
      <c r="T48" s="367"/>
      <c r="U48" s="367"/>
      <c r="V48" s="367"/>
      <c r="W48" s="367"/>
      <c r="X48" s="367"/>
      <c r="Y48" s="367"/>
      <c r="Z48" s="367"/>
      <c r="AA48" s="367"/>
      <c r="AB48" s="29"/>
      <c r="AC48" s="367"/>
      <c r="AD48" s="367"/>
      <c r="AE48" s="367"/>
      <c r="AF48" s="367"/>
      <c r="AG48" s="367"/>
      <c r="AH48" s="367"/>
      <c r="AI48" s="367"/>
      <c r="AJ48" s="367"/>
      <c r="AK48" s="367"/>
      <c r="AL48" s="367"/>
      <c r="AM48" s="367"/>
      <c r="AN48" s="367"/>
      <c r="AO48" s="367"/>
      <c r="AP48" s="367"/>
      <c r="AQ48" s="367"/>
      <c r="AR48" s="367"/>
      <c r="AS48" s="367"/>
      <c r="AT48" s="367"/>
      <c r="AU48" s="367"/>
      <c r="AV48" s="367"/>
      <c r="AW48" s="367"/>
      <c r="AX48" s="367"/>
      <c r="AY48" s="367"/>
      <c r="AZ48" s="367"/>
    </row>
    <row r="49" spans="2:52" ht="15.75" hidden="1" outlineLevel="1" x14ac:dyDescent="0.25">
      <c r="B49" s="145"/>
      <c r="C49" s="797" t="s">
        <v>459</v>
      </c>
      <c r="D49" s="797"/>
      <c r="E49" s="371"/>
      <c r="F49" s="780"/>
      <c r="G49" s="780"/>
      <c r="H49" s="780"/>
      <c r="I49" s="780"/>
      <c r="J49" s="780"/>
      <c r="K49" s="145"/>
      <c r="L49" s="367"/>
      <c r="M49" s="367"/>
      <c r="N49" s="367"/>
      <c r="O49" s="367"/>
      <c r="P49" s="367"/>
      <c r="Q49" s="367"/>
      <c r="R49" s="367"/>
      <c r="S49" s="367"/>
      <c r="T49" s="367"/>
      <c r="U49" s="367"/>
      <c r="V49" s="367"/>
      <c r="W49" s="367"/>
      <c r="X49" s="367"/>
      <c r="Y49" s="367"/>
      <c r="Z49" s="367"/>
      <c r="AA49" s="367"/>
      <c r="AB49" s="29"/>
      <c r="AC49" s="367"/>
      <c r="AD49" s="367"/>
      <c r="AE49" s="367"/>
      <c r="AF49" s="367"/>
      <c r="AG49" s="367"/>
      <c r="AH49" s="367"/>
      <c r="AI49" s="367"/>
      <c r="AJ49" s="367"/>
      <c r="AK49" s="367"/>
      <c r="AL49" s="367"/>
      <c r="AM49" s="367"/>
      <c r="AN49" s="367"/>
      <c r="AO49" s="367"/>
      <c r="AP49" s="367"/>
      <c r="AQ49" s="367"/>
      <c r="AR49" s="367"/>
      <c r="AS49" s="367"/>
      <c r="AT49" s="367"/>
      <c r="AU49" s="367"/>
      <c r="AV49" s="367"/>
      <c r="AW49" s="367"/>
      <c r="AX49" s="367"/>
      <c r="AY49" s="367"/>
      <c r="AZ49" s="367"/>
    </row>
    <row r="50" spans="2:52" ht="31.5" hidden="1" customHeight="1" outlineLevel="1" x14ac:dyDescent="0.25">
      <c r="B50" s="145"/>
      <c r="C50" s="796">
        <v>611310</v>
      </c>
      <c r="D50" s="796"/>
      <c r="E50" s="371"/>
      <c r="F50" s="779" t="s">
        <v>460</v>
      </c>
      <c r="G50" s="779"/>
      <c r="H50" s="779"/>
      <c r="I50" s="779"/>
      <c r="J50" s="779"/>
      <c r="K50" s="145"/>
      <c r="L50" s="367"/>
      <c r="M50" s="367"/>
      <c r="N50" s="367"/>
      <c r="O50" s="367"/>
      <c r="P50" s="367"/>
      <c r="Q50" s="367"/>
      <c r="R50" s="367"/>
      <c r="S50" s="367"/>
      <c r="T50" s="367"/>
      <c r="U50" s="367"/>
      <c r="V50" s="367"/>
      <c r="W50" s="367"/>
      <c r="X50" s="367"/>
      <c r="Y50" s="367"/>
      <c r="Z50" s="367"/>
      <c r="AA50" s="367"/>
      <c r="AB50" s="29"/>
      <c r="AC50" s="367"/>
      <c r="AD50" s="367"/>
      <c r="AE50" s="367"/>
      <c r="AF50" s="367"/>
      <c r="AG50" s="367"/>
      <c r="AH50" s="367"/>
      <c r="AI50" s="367"/>
      <c r="AJ50" s="367"/>
      <c r="AK50" s="367"/>
      <c r="AL50" s="367"/>
      <c r="AM50" s="367"/>
      <c r="AN50" s="367"/>
      <c r="AO50" s="367"/>
      <c r="AP50" s="367"/>
      <c r="AQ50" s="367"/>
      <c r="AR50" s="367"/>
      <c r="AS50" s="367"/>
      <c r="AT50" s="367"/>
      <c r="AU50" s="367"/>
      <c r="AV50" s="367"/>
      <c r="AW50" s="367"/>
      <c r="AX50" s="367"/>
      <c r="AY50" s="367"/>
      <c r="AZ50" s="367"/>
    </row>
    <row r="51" spans="2:52" ht="15.75" hidden="1" outlineLevel="1" x14ac:dyDescent="0.25">
      <c r="B51" s="145"/>
      <c r="C51" s="798" t="s">
        <v>461</v>
      </c>
      <c r="D51" s="798"/>
      <c r="E51" s="371"/>
      <c r="F51" s="780"/>
      <c r="G51" s="780"/>
      <c r="H51" s="780"/>
      <c r="I51" s="780"/>
      <c r="J51" s="780"/>
      <c r="K51" s="145"/>
      <c r="L51" s="367"/>
      <c r="M51" s="367"/>
      <c r="N51" s="367"/>
      <c r="O51" s="367"/>
      <c r="P51" s="367"/>
      <c r="Q51" s="367"/>
      <c r="R51" s="367"/>
      <c r="S51" s="367"/>
      <c r="T51" s="367"/>
      <c r="U51" s="367"/>
      <c r="V51" s="367"/>
      <c r="W51" s="367"/>
      <c r="X51" s="367"/>
      <c r="Y51" s="367"/>
      <c r="Z51" s="367"/>
      <c r="AA51" s="367"/>
      <c r="AB51" s="29"/>
      <c r="AC51" s="367"/>
      <c r="AD51" s="367"/>
      <c r="AE51" s="367"/>
      <c r="AF51" s="367"/>
      <c r="AG51" s="367"/>
      <c r="AH51" s="367"/>
      <c r="AI51" s="367"/>
      <c r="AJ51" s="367"/>
      <c r="AK51" s="367"/>
      <c r="AL51" s="367"/>
      <c r="AM51" s="367"/>
      <c r="AN51" s="367"/>
      <c r="AO51" s="367"/>
      <c r="AP51" s="367"/>
      <c r="AQ51" s="367"/>
      <c r="AR51" s="367"/>
      <c r="AS51" s="367"/>
      <c r="AT51" s="367"/>
      <c r="AU51" s="367"/>
      <c r="AV51" s="367"/>
      <c r="AW51" s="367"/>
      <c r="AX51" s="367"/>
      <c r="AY51" s="367"/>
      <c r="AZ51" s="367"/>
    </row>
    <row r="52" spans="2:52" ht="47.25" hidden="1" customHeight="1" outlineLevel="1" x14ac:dyDescent="0.25">
      <c r="B52" s="145"/>
      <c r="C52" s="796">
        <v>334220</v>
      </c>
      <c r="D52" s="796"/>
      <c r="E52" s="371"/>
      <c r="F52" s="799" t="s">
        <v>462</v>
      </c>
      <c r="G52" s="799"/>
      <c r="H52" s="799"/>
      <c r="I52" s="799"/>
      <c r="J52" s="799"/>
      <c r="K52" s="145"/>
      <c r="L52" s="367"/>
      <c r="M52" s="367"/>
      <c r="N52" s="367"/>
      <c r="O52" s="367"/>
      <c r="P52" s="367"/>
      <c r="Q52" s="367"/>
      <c r="R52" s="367"/>
      <c r="S52" s="367"/>
      <c r="T52" s="367"/>
      <c r="U52" s="367"/>
      <c r="V52" s="367"/>
      <c r="W52" s="367"/>
      <c r="X52" s="367"/>
      <c r="Y52" s="367"/>
      <c r="Z52" s="367"/>
      <c r="AA52" s="367"/>
      <c r="AB52" s="29"/>
      <c r="AC52" s="367"/>
      <c r="AD52" s="367"/>
      <c r="AE52" s="367"/>
      <c r="AF52" s="367"/>
      <c r="AG52" s="367"/>
      <c r="AH52" s="367"/>
      <c r="AI52" s="367"/>
      <c r="AJ52" s="367"/>
      <c r="AK52" s="367"/>
      <c r="AL52" s="367"/>
      <c r="AM52" s="367"/>
      <c r="AN52" s="367"/>
      <c r="AO52" s="367"/>
      <c r="AP52" s="367"/>
      <c r="AQ52" s="367"/>
      <c r="AR52" s="367"/>
      <c r="AS52" s="367"/>
      <c r="AT52" s="367"/>
      <c r="AU52" s="367"/>
      <c r="AV52" s="367"/>
      <c r="AW52" s="367"/>
      <c r="AX52" s="367"/>
      <c r="AY52" s="367"/>
      <c r="AZ52" s="367"/>
    </row>
    <row r="53" spans="2:52" ht="15" hidden="1" customHeight="1" outlineLevel="1" x14ac:dyDescent="0.25">
      <c r="B53" s="145"/>
      <c r="C53" s="796">
        <v>541330</v>
      </c>
      <c r="D53" s="796"/>
      <c r="E53" s="371"/>
      <c r="F53" s="780" t="s">
        <v>463</v>
      </c>
      <c r="G53" s="780"/>
      <c r="H53" s="780"/>
      <c r="I53" s="780"/>
      <c r="J53" s="780"/>
      <c r="K53" s="145"/>
      <c r="L53" s="367"/>
      <c r="M53" s="367"/>
      <c r="N53" s="367"/>
      <c r="O53" s="367"/>
      <c r="P53" s="367"/>
      <c r="Q53" s="367"/>
      <c r="R53" s="367"/>
      <c r="S53" s="367"/>
      <c r="T53" s="367"/>
      <c r="U53" s="367"/>
      <c r="V53" s="367"/>
      <c r="W53" s="367"/>
      <c r="X53" s="367"/>
      <c r="Y53" s="367"/>
      <c r="Z53" s="367"/>
      <c r="AA53" s="367"/>
      <c r="AB53" s="29"/>
      <c r="AC53" s="367"/>
      <c r="AD53" s="367"/>
      <c r="AE53" s="367"/>
      <c r="AF53" s="367"/>
      <c r="AG53" s="367"/>
      <c r="AH53" s="367"/>
      <c r="AI53" s="367"/>
      <c r="AJ53" s="367"/>
      <c r="AK53" s="367"/>
      <c r="AL53" s="367"/>
      <c r="AM53" s="367"/>
      <c r="AN53" s="367"/>
      <c r="AO53" s="367"/>
      <c r="AP53" s="367"/>
      <c r="AQ53" s="367"/>
      <c r="AR53" s="367"/>
      <c r="AS53" s="367"/>
      <c r="AT53" s="367"/>
      <c r="AU53" s="367"/>
      <c r="AV53" s="367"/>
      <c r="AW53" s="367"/>
      <c r="AX53" s="367"/>
      <c r="AY53" s="367"/>
      <c r="AZ53" s="367"/>
    </row>
    <row r="54" spans="2:52" ht="15.75" hidden="1" outlineLevel="1" x14ac:dyDescent="0.25">
      <c r="B54" s="145"/>
      <c r="C54" s="796">
        <v>541513</v>
      </c>
      <c r="D54" s="796"/>
      <c r="E54" s="371"/>
      <c r="F54" s="800" t="s">
        <v>464</v>
      </c>
      <c r="G54" s="800"/>
      <c r="H54" s="800"/>
      <c r="I54" s="800"/>
      <c r="J54" s="800"/>
      <c r="K54" s="145"/>
      <c r="L54" s="367"/>
      <c r="M54" s="367"/>
      <c r="N54" s="367"/>
      <c r="O54" s="367"/>
      <c r="P54" s="367"/>
      <c r="Q54" s="367"/>
      <c r="R54" s="367"/>
      <c r="S54" s="367"/>
      <c r="T54" s="367"/>
      <c r="U54" s="367"/>
      <c r="V54" s="367"/>
      <c r="W54" s="367"/>
      <c r="X54" s="367"/>
      <c r="Y54" s="367"/>
      <c r="Z54" s="367"/>
      <c r="AA54" s="367"/>
      <c r="AB54" s="29"/>
      <c r="AC54" s="367"/>
      <c r="AD54" s="367"/>
      <c r="AE54" s="367"/>
      <c r="AF54" s="367"/>
      <c r="AG54" s="367"/>
      <c r="AH54" s="367"/>
      <c r="AI54" s="367"/>
      <c r="AJ54" s="367"/>
      <c r="AK54" s="367"/>
      <c r="AL54" s="367"/>
      <c r="AM54" s="367"/>
      <c r="AN54" s="367"/>
      <c r="AO54" s="367"/>
      <c r="AP54" s="367"/>
      <c r="AQ54" s="367"/>
      <c r="AR54" s="367"/>
      <c r="AS54" s="367"/>
      <c r="AT54" s="367"/>
      <c r="AU54" s="367"/>
      <c r="AV54" s="367"/>
      <c r="AW54" s="367"/>
      <c r="AX54" s="367"/>
      <c r="AY54" s="367"/>
      <c r="AZ54" s="367"/>
    </row>
    <row r="55" spans="2:52" ht="46.5" hidden="1" customHeight="1" outlineLevel="1" x14ac:dyDescent="0.25">
      <c r="B55" s="145"/>
      <c r="C55" s="801">
        <v>541715</v>
      </c>
      <c r="D55" s="801"/>
      <c r="E55" s="371"/>
      <c r="F55" s="779" t="s">
        <v>465</v>
      </c>
      <c r="G55" s="779"/>
      <c r="H55" s="779"/>
      <c r="I55" s="779"/>
      <c r="J55" s="779"/>
      <c r="K55" s="145"/>
      <c r="L55" s="367"/>
      <c r="M55" s="367"/>
      <c r="N55" s="367"/>
      <c r="O55" s="367"/>
      <c r="P55" s="367"/>
      <c r="Q55" s="367"/>
      <c r="R55" s="367"/>
      <c r="S55" s="367"/>
      <c r="T55" s="367"/>
      <c r="U55" s="367"/>
      <c r="V55" s="367"/>
      <c r="W55" s="367"/>
      <c r="X55" s="367"/>
      <c r="Y55" s="367"/>
      <c r="Z55" s="367"/>
      <c r="AA55" s="367"/>
      <c r="AB55" s="29"/>
      <c r="AC55" s="367"/>
      <c r="AD55" s="367"/>
      <c r="AE55" s="367"/>
      <c r="AF55" s="367"/>
      <c r="AG55" s="367"/>
      <c r="AH55" s="367"/>
      <c r="AI55" s="367"/>
      <c r="AJ55" s="367"/>
      <c r="AK55" s="367"/>
      <c r="AL55" s="367"/>
      <c r="AM55" s="367"/>
      <c r="AN55" s="367"/>
      <c r="AO55" s="367"/>
      <c r="AP55" s="367"/>
      <c r="AQ55" s="367"/>
      <c r="AR55" s="367"/>
      <c r="AS55" s="367"/>
      <c r="AT55" s="367"/>
      <c r="AU55" s="367"/>
      <c r="AV55" s="367"/>
      <c r="AW55" s="367"/>
      <c r="AX55" s="367"/>
      <c r="AY55" s="367"/>
      <c r="AZ55" s="367"/>
    </row>
    <row r="56" spans="2:52" ht="15.75" hidden="1" outlineLevel="1" x14ac:dyDescent="0.25">
      <c r="B56" s="145"/>
      <c r="C56" s="796">
        <v>813920</v>
      </c>
      <c r="D56" s="796"/>
      <c r="E56" s="371"/>
      <c r="F56" s="800" t="s">
        <v>466</v>
      </c>
      <c r="G56" s="800"/>
      <c r="H56" s="800"/>
      <c r="I56" s="800"/>
      <c r="J56" s="800"/>
      <c r="K56" s="145"/>
      <c r="L56" s="367"/>
      <c r="M56" s="367"/>
      <c r="N56" s="367"/>
      <c r="O56" s="367"/>
      <c r="P56" s="367"/>
      <c r="Q56" s="367"/>
      <c r="R56" s="367"/>
      <c r="S56" s="367"/>
      <c r="T56" s="367"/>
      <c r="U56" s="367"/>
      <c r="V56" s="367"/>
      <c r="W56" s="367"/>
      <c r="X56" s="367"/>
      <c r="Y56" s="367"/>
      <c r="Z56" s="367"/>
      <c r="AA56" s="367"/>
      <c r="AB56" s="29"/>
      <c r="AC56" s="367"/>
      <c r="AD56" s="367"/>
      <c r="AE56" s="367"/>
      <c r="AF56" s="367"/>
      <c r="AG56" s="367"/>
      <c r="AH56" s="367"/>
      <c r="AI56" s="367"/>
      <c r="AJ56" s="367"/>
      <c r="AK56" s="367"/>
      <c r="AL56" s="367"/>
      <c r="AM56" s="367"/>
      <c r="AN56" s="367"/>
      <c r="AO56" s="367"/>
      <c r="AP56" s="367"/>
      <c r="AQ56" s="367"/>
      <c r="AR56" s="367"/>
      <c r="AS56" s="367"/>
      <c r="AT56" s="367"/>
      <c r="AU56" s="367"/>
      <c r="AV56" s="367"/>
      <c r="AW56" s="367"/>
      <c r="AX56" s="367"/>
      <c r="AY56" s="367"/>
      <c r="AZ56" s="367"/>
    </row>
    <row r="57" spans="2:52" ht="16.5" collapsed="1" thickBot="1" x14ac:dyDescent="0.3">
      <c r="B57" s="145"/>
      <c r="C57"/>
      <c r="D57"/>
      <c r="E57"/>
      <c r="F57"/>
      <c r="G57"/>
      <c r="H57"/>
      <c r="I57"/>
      <c r="J57"/>
      <c r="K57"/>
      <c r="L57" s="367"/>
      <c r="M57" s="367"/>
      <c r="N57" s="367"/>
      <c r="O57" s="367"/>
      <c r="P57" s="367"/>
      <c r="Q57" s="367"/>
      <c r="R57" s="367"/>
      <c r="S57" s="367"/>
      <c r="T57" s="367"/>
      <c r="U57" s="367"/>
      <c r="V57" s="367"/>
      <c r="W57" s="367"/>
      <c r="X57" s="367"/>
      <c r="Y57" s="367"/>
      <c r="Z57" s="367"/>
      <c r="AA57" s="367"/>
      <c r="AB57" s="29"/>
      <c r="AC57" s="367"/>
      <c r="AD57" s="367"/>
      <c r="AE57" s="367"/>
      <c r="AF57" s="367"/>
      <c r="AG57" s="367"/>
      <c r="AH57" s="367"/>
      <c r="AI57" s="367"/>
      <c r="AJ57" s="367"/>
      <c r="AK57" s="367"/>
      <c r="AL57" s="367"/>
      <c r="AM57" s="367"/>
      <c r="AN57" s="367"/>
      <c r="AO57" s="367"/>
      <c r="AP57" s="367"/>
      <c r="AQ57" s="367"/>
      <c r="AR57" s="367"/>
      <c r="AS57" s="367"/>
      <c r="AT57" s="367"/>
      <c r="AU57" s="367"/>
      <c r="AV57" s="367"/>
      <c r="AW57" s="367"/>
      <c r="AX57" s="367"/>
      <c r="AY57" s="367"/>
      <c r="AZ57" s="367"/>
    </row>
    <row r="58" spans="2:52" ht="15" customHeight="1" thickTop="1" thickBot="1" x14ac:dyDescent="0.3">
      <c r="B58" s="145"/>
      <c r="C58" s="778" t="s">
        <v>467</v>
      </c>
      <c r="D58" s="778"/>
      <c r="E58" s="778"/>
      <c r="F58" s="778"/>
      <c r="G58" s="778"/>
      <c r="H58" s="778"/>
      <c r="I58" s="778"/>
      <c r="J58" s="778"/>
      <c r="K58" s="778"/>
      <c r="L58" s="367"/>
      <c r="M58" s="367"/>
      <c r="N58" s="367"/>
      <c r="O58" s="367"/>
      <c r="P58" s="367"/>
      <c r="Q58" s="367"/>
      <c r="R58" s="367"/>
      <c r="S58" s="367"/>
      <c r="T58" s="367"/>
      <c r="U58" s="367"/>
      <c r="V58" s="367"/>
      <c r="W58" s="367"/>
      <c r="X58" s="367"/>
      <c r="Y58" s="367"/>
      <c r="Z58" s="367"/>
      <c r="AA58" s="367"/>
      <c r="AB58" s="29"/>
      <c r="AC58" s="367"/>
      <c r="AD58" s="367"/>
      <c r="AE58" s="367"/>
      <c r="AF58" s="367"/>
      <c r="AG58" s="367"/>
      <c r="AH58" s="367"/>
      <c r="AI58" s="367"/>
      <c r="AJ58" s="367"/>
      <c r="AK58" s="367"/>
      <c r="AL58" s="367"/>
      <c r="AM58" s="367"/>
      <c r="AN58" s="367"/>
      <c r="AO58" s="367"/>
      <c r="AP58" s="367"/>
      <c r="AQ58" s="367"/>
      <c r="AR58" s="367"/>
      <c r="AS58" s="367"/>
      <c r="AT58" s="367"/>
      <c r="AU58" s="367"/>
      <c r="AV58" s="367"/>
      <c r="AW58" s="367"/>
      <c r="AX58" s="367"/>
      <c r="AY58" s="367"/>
      <c r="AZ58" s="367"/>
    </row>
    <row r="59" spans="2:52" ht="2.25" hidden="1" customHeight="1" outlineLevel="1" x14ac:dyDescent="0.25">
      <c r="B59" s="145"/>
      <c r="C59" s="368"/>
      <c r="D59" s="158"/>
      <c r="E59" s="145"/>
      <c r="F59" s="367"/>
      <c r="G59" s="367"/>
      <c r="H59" s="367"/>
      <c r="I59" s="367"/>
      <c r="J59" s="367"/>
      <c r="K59" s="145"/>
      <c r="L59" s="367"/>
      <c r="M59" s="367"/>
      <c r="N59" s="367"/>
      <c r="O59" s="367"/>
      <c r="P59" s="367"/>
      <c r="Q59" s="367"/>
      <c r="R59" s="367"/>
      <c r="S59" s="367"/>
      <c r="T59" s="367"/>
      <c r="U59" s="367"/>
      <c r="V59" s="367"/>
      <c r="W59" s="367"/>
      <c r="X59" s="367"/>
      <c r="Y59" s="367"/>
      <c r="Z59" s="367"/>
      <c r="AA59" s="367"/>
      <c r="AB59" s="29"/>
      <c r="AC59" s="367"/>
      <c r="AD59" s="367"/>
      <c r="AE59" s="367"/>
      <c r="AF59" s="367"/>
      <c r="AG59" s="367"/>
      <c r="AH59" s="367"/>
      <c r="AI59" s="367"/>
      <c r="AJ59" s="367"/>
      <c r="AK59" s="367"/>
      <c r="AL59" s="367"/>
      <c r="AM59" s="367"/>
      <c r="AN59" s="367"/>
      <c r="AO59" s="367"/>
      <c r="AP59" s="367"/>
      <c r="AQ59" s="367"/>
      <c r="AR59" s="367"/>
      <c r="AS59" s="367"/>
      <c r="AT59" s="367"/>
      <c r="AU59" s="367"/>
      <c r="AV59" s="367"/>
      <c r="AW59" s="367"/>
      <c r="AX59" s="367"/>
      <c r="AY59" s="367"/>
      <c r="AZ59" s="367"/>
    </row>
    <row r="60" spans="2:52" ht="61.5" hidden="1" customHeight="1" outlineLevel="1" thickBot="1" x14ac:dyDescent="0.3">
      <c r="B60" s="145"/>
      <c r="C60" s="795" t="s">
        <v>468</v>
      </c>
      <c r="D60" s="795"/>
      <c r="E60" s="371"/>
      <c r="F60" s="782" t="s">
        <v>469</v>
      </c>
      <c r="G60" s="782"/>
      <c r="H60" s="782"/>
      <c r="I60" s="782"/>
      <c r="J60" s="782"/>
      <c r="K60" s="145"/>
      <c r="L60" s="367"/>
      <c r="M60" s="367"/>
      <c r="N60" s="367"/>
      <c r="O60" s="367"/>
      <c r="P60" s="367"/>
      <c r="Q60" s="367"/>
      <c r="R60" s="367"/>
      <c r="S60" s="367"/>
      <c r="T60" s="367"/>
      <c r="U60" s="367"/>
      <c r="V60" s="367"/>
      <c r="W60" s="367"/>
      <c r="X60" s="367"/>
      <c r="Y60" s="367"/>
      <c r="Z60" s="367"/>
      <c r="AA60" s="367"/>
      <c r="AB60" s="29"/>
      <c r="AC60" s="367"/>
      <c r="AD60" s="367"/>
      <c r="AE60" s="367"/>
      <c r="AF60" s="367"/>
      <c r="AG60" s="367"/>
      <c r="AH60" s="367"/>
      <c r="AI60" s="367"/>
      <c r="AJ60" s="367"/>
      <c r="AK60" s="367"/>
      <c r="AL60" s="367"/>
      <c r="AM60" s="367"/>
      <c r="AN60" s="367"/>
      <c r="AO60" s="367"/>
      <c r="AP60" s="367"/>
      <c r="AQ60" s="367"/>
      <c r="AR60" s="367"/>
      <c r="AS60" s="367"/>
      <c r="AT60" s="367"/>
      <c r="AU60" s="367"/>
      <c r="AV60" s="367"/>
      <c r="AW60" s="367"/>
      <c r="AX60" s="367"/>
      <c r="AY60" s="367"/>
      <c r="AZ60" s="367"/>
    </row>
    <row r="61" spans="2:52" ht="17.25" collapsed="1" thickTop="1" thickBot="1" x14ac:dyDescent="0.3">
      <c r="B61" s="369"/>
      <c r="C61" s="81"/>
      <c r="D61" s="81"/>
      <c r="E61" s="47"/>
      <c r="F61" s="81"/>
      <c r="G61" s="48"/>
      <c r="H61" s="48"/>
      <c r="I61" s="48"/>
      <c r="J61" s="48"/>
      <c r="K61" s="48"/>
      <c r="L61"/>
      <c r="M61"/>
      <c r="N61" s="367"/>
      <c r="O61" s="367"/>
      <c r="P61" s="367"/>
      <c r="Q61" s="367"/>
      <c r="R61" s="367"/>
      <c r="S61" s="367"/>
      <c r="T61" s="367"/>
      <c r="U61" s="367"/>
      <c r="V61" s="367"/>
      <c r="W61" s="367"/>
      <c r="X61" s="367"/>
      <c r="Y61" s="367"/>
      <c r="Z61" s="367"/>
      <c r="AA61" s="367"/>
      <c r="AB61" s="29"/>
      <c r="AC61" s="367"/>
      <c r="AD61" s="367"/>
      <c r="AE61" s="367"/>
      <c r="AF61" s="367"/>
      <c r="AG61" s="367"/>
      <c r="AH61" s="367"/>
      <c r="AI61" s="367"/>
      <c r="AJ61" s="367"/>
      <c r="AK61" s="367"/>
      <c r="AL61" s="367"/>
      <c r="AM61" s="367"/>
      <c r="AN61" s="367"/>
      <c r="AO61" s="367"/>
      <c r="AP61" s="367"/>
      <c r="AQ61" s="367"/>
      <c r="AR61" s="367"/>
      <c r="AS61" s="367"/>
      <c r="AT61" s="367"/>
      <c r="AU61" s="367"/>
      <c r="AV61" s="367"/>
      <c r="AW61" s="367"/>
      <c r="AX61" s="367"/>
      <c r="AY61" s="367"/>
      <c r="AZ61" s="367"/>
    </row>
    <row r="62" spans="2:52" ht="16.5" thickTop="1" x14ac:dyDescent="0.25">
      <c r="B62"/>
      <c r="C62"/>
      <c r="D62"/>
      <c r="E62"/>
      <c r="F62"/>
      <c r="G62"/>
      <c r="H62"/>
      <c r="I62"/>
      <c r="J62"/>
      <c r="K62"/>
      <c r="L62" s="367"/>
      <c r="M62" s="367"/>
      <c r="N62" s="367"/>
      <c r="O62" s="367"/>
      <c r="P62" s="367"/>
      <c r="Q62" s="367"/>
      <c r="R62" s="367"/>
      <c r="S62" s="367"/>
      <c r="T62" s="367"/>
      <c r="U62" s="367"/>
      <c r="V62" s="367"/>
      <c r="W62" s="367"/>
      <c r="X62" s="367"/>
      <c r="Y62" s="367"/>
      <c r="Z62" s="367"/>
      <c r="AA62" s="367"/>
      <c r="AB62" s="29"/>
      <c r="AC62" s="367"/>
      <c r="AD62" s="367"/>
      <c r="AE62" s="367"/>
      <c r="AF62" s="367"/>
      <c r="AG62" s="367"/>
      <c r="AH62" s="367"/>
      <c r="AI62" s="367"/>
      <c r="AJ62" s="367"/>
      <c r="AK62" s="367"/>
      <c r="AL62" s="367"/>
      <c r="AM62" s="367"/>
      <c r="AN62" s="367"/>
      <c r="AO62" s="367"/>
      <c r="AP62" s="367"/>
      <c r="AQ62" s="367"/>
      <c r="AR62" s="367"/>
      <c r="AS62" s="367"/>
      <c r="AT62" s="367"/>
      <c r="AU62" s="367"/>
      <c r="AV62" s="367"/>
      <c r="AW62" s="367"/>
      <c r="AX62" s="367"/>
      <c r="AY62" s="367"/>
      <c r="AZ62" s="367"/>
    </row>
    <row r="63" spans="2:52" ht="15.75" x14ac:dyDescent="0.25">
      <c r="B63"/>
      <c r="C63"/>
      <c r="D63"/>
      <c r="E63"/>
      <c r="F63"/>
      <c r="G63"/>
      <c r="H63"/>
      <c r="I63"/>
      <c r="J63"/>
      <c r="K63"/>
      <c r="L63" s="367"/>
      <c r="M63" s="367"/>
      <c r="N63" s="367"/>
      <c r="O63" s="367"/>
      <c r="P63" s="367"/>
      <c r="Q63" s="367"/>
      <c r="R63" s="367"/>
      <c r="S63" s="367"/>
      <c r="T63" s="367"/>
      <c r="U63" s="367"/>
      <c r="V63" s="367"/>
      <c r="W63" s="367"/>
      <c r="X63" s="367"/>
      <c r="Y63" s="367"/>
      <c r="Z63" s="367"/>
      <c r="AA63" s="367"/>
      <c r="AB63" s="29"/>
      <c r="AC63" s="367"/>
      <c r="AD63" s="367"/>
      <c r="AE63" s="367"/>
      <c r="AF63" s="367"/>
      <c r="AG63" s="367"/>
      <c r="AH63" s="367"/>
      <c r="AI63" s="367"/>
      <c r="AJ63" s="367"/>
      <c r="AK63" s="367"/>
      <c r="AL63" s="367"/>
      <c r="AM63" s="367"/>
      <c r="AN63" s="367"/>
      <c r="AO63" s="367"/>
      <c r="AP63" s="367"/>
      <c r="AQ63" s="367"/>
      <c r="AR63" s="367"/>
      <c r="AS63" s="367"/>
      <c r="AT63" s="367"/>
      <c r="AU63" s="367"/>
      <c r="AV63" s="367"/>
      <c r="AW63" s="367"/>
      <c r="AX63" s="367"/>
      <c r="AY63" s="367"/>
      <c r="AZ63" s="367"/>
    </row>
    <row r="64" spans="2:52" ht="8.25" customHeight="1" x14ac:dyDescent="0.25">
      <c r="B64"/>
      <c r="C64"/>
      <c r="D64"/>
      <c r="E64"/>
      <c r="F64"/>
      <c r="G64"/>
      <c r="H64"/>
      <c r="I64"/>
      <c r="J64"/>
      <c r="K64"/>
      <c r="L64" s="367"/>
      <c r="M64" s="367"/>
      <c r="N64" s="367"/>
      <c r="O64" s="367"/>
      <c r="P64" s="367"/>
      <c r="Q64" s="367"/>
      <c r="R64" s="367"/>
      <c r="S64" s="367"/>
      <c r="T64" s="367"/>
      <c r="U64" s="367"/>
      <c r="V64" s="367"/>
      <c r="W64" s="367"/>
      <c r="X64" s="367"/>
      <c r="Y64" s="367"/>
      <c r="Z64" s="367"/>
      <c r="AA64" s="367"/>
      <c r="AB64" s="29"/>
      <c r="AC64" s="367"/>
      <c r="AD64" s="367"/>
      <c r="AE64" s="367"/>
      <c r="AF64" s="367"/>
      <c r="AG64" s="367"/>
      <c r="AH64" s="367"/>
      <c r="AI64" s="367"/>
      <c r="AJ64" s="367"/>
      <c r="AK64" s="367"/>
      <c r="AL64" s="367"/>
      <c r="AM64" s="367"/>
      <c r="AN64" s="367"/>
      <c r="AO64" s="367"/>
      <c r="AP64" s="367"/>
      <c r="AQ64" s="367"/>
      <c r="AR64" s="367"/>
      <c r="AS64" s="367"/>
      <c r="AT64" s="367"/>
      <c r="AU64" s="367"/>
      <c r="AV64" s="367"/>
      <c r="AW64" s="367"/>
      <c r="AX64" s="367"/>
      <c r="AY64" s="367"/>
      <c r="AZ64" s="367"/>
    </row>
    <row r="65" spans="2:52" ht="15.75" x14ac:dyDescent="0.25">
      <c r="B65"/>
      <c r="C65"/>
      <c r="D65"/>
      <c r="E65"/>
      <c r="F65"/>
      <c r="G65"/>
      <c r="H65"/>
      <c r="I65"/>
      <c r="J65"/>
      <c r="K65"/>
      <c r="L65" s="367"/>
      <c r="M65" s="367"/>
      <c r="N65" s="367"/>
      <c r="O65" s="367"/>
      <c r="P65" s="367"/>
      <c r="Q65" s="367"/>
      <c r="R65" s="367"/>
      <c r="S65" s="367"/>
      <c r="T65" s="367"/>
      <c r="U65" s="367"/>
      <c r="V65" s="367"/>
      <c r="W65" s="367"/>
      <c r="X65" s="367"/>
      <c r="Y65" s="367"/>
      <c r="Z65" s="367"/>
      <c r="AA65" s="367"/>
      <c r="AB65" s="29"/>
      <c r="AC65" s="367"/>
      <c r="AD65" s="367"/>
      <c r="AE65" s="367"/>
      <c r="AF65" s="367"/>
      <c r="AG65" s="367"/>
      <c r="AH65" s="367"/>
      <c r="AI65" s="367"/>
      <c r="AJ65" s="367"/>
      <c r="AK65" s="367"/>
      <c r="AL65" s="367"/>
      <c r="AM65" s="367"/>
      <c r="AN65" s="367"/>
      <c r="AO65" s="367"/>
      <c r="AP65" s="367"/>
      <c r="AQ65" s="367"/>
      <c r="AR65" s="367"/>
      <c r="AS65" s="367"/>
      <c r="AT65" s="367"/>
      <c r="AU65" s="367"/>
      <c r="AV65" s="367"/>
      <c r="AW65" s="367"/>
      <c r="AX65" s="367"/>
      <c r="AY65" s="367"/>
      <c r="AZ65" s="367"/>
    </row>
    <row r="66" spans="2:52" ht="15.75" x14ac:dyDescent="0.25">
      <c r="B66"/>
      <c r="C66"/>
      <c r="D66"/>
      <c r="E66"/>
      <c r="F66"/>
      <c r="G66"/>
      <c r="H66"/>
      <c r="I66"/>
      <c r="J66"/>
      <c r="K66"/>
      <c r="L66" s="367"/>
      <c r="M66" s="367"/>
      <c r="N66" s="367"/>
      <c r="O66" s="367"/>
      <c r="P66" s="367"/>
      <c r="Q66" s="367"/>
      <c r="R66" s="367"/>
      <c r="S66" s="367"/>
      <c r="T66" s="367"/>
      <c r="U66" s="367"/>
      <c r="V66" s="367"/>
      <c r="W66" s="367"/>
      <c r="X66" s="367"/>
      <c r="Y66" s="367"/>
      <c r="Z66" s="367"/>
      <c r="AA66" s="367"/>
      <c r="AB66" s="29"/>
      <c r="AC66" s="367"/>
      <c r="AD66" s="367"/>
      <c r="AE66" s="367"/>
      <c r="AF66" s="367"/>
      <c r="AG66" s="367"/>
      <c r="AH66" s="367"/>
      <c r="AI66" s="367"/>
      <c r="AJ66" s="367"/>
      <c r="AK66" s="367"/>
      <c r="AL66" s="367"/>
      <c r="AM66" s="367"/>
      <c r="AN66" s="367"/>
      <c r="AO66" s="367"/>
      <c r="AP66" s="367"/>
      <c r="AQ66" s="367"/>
      <c r="AR66" s="367"/>
      <c r="AS66" s="367"/>
      <c r="AT66" s="367"/>
      <c r="AU66" s="367"/>
      <c r="AV66" s="367"/>
      <c r="AW66" s="367"/>
      <c r="AX66" s="367"/>
      <c r="AY66" s="367"/>
      <c r="AZ66" s="367"/>
    </row>
    <row r="67" spans="2:52" ht="15.75" x14ac:dyDescent="0.25">
      <c r="B67"/>
      <c r="C67"/>
      <c r="D67"/>
      <c r="E67"/>
      <c r="F67"/>
      <c r="G67"/>
      <c r="H67"/>
      <c r="I67"/>
      <c r="J67"/>
      <c r="K67"/>
      <c r="L67" s="367"/>
      <c r="M67" s="367"/>
      <c r="N67" s="367"/>
      <c r="O67" s="367"/>
      <c r="P67" s="367"/>
      <c r="Q67" s="367"/>
      <c r="R67" s="367"/>
      <c r="S67" s="367"/>
      <c r="T67" s="367"/>
      <c r="U67" s="367"/>
      <c r="V67" s="367"/>
      <c r="W67" s="367"/>
      <c r="X67" s="367"/>
      <c r="Y67" s="367"/>
      <c r="Z67" s="367"/>
      <c r="AA67" s="367"/>
      <c r="AB67" s="29"/>
      <c r="AC67" s="367"/>
      <c r="AD67" s="367"/>
      <c r="AE67" s="367"/>
      <c r="AF67" s="367"/>
      <c r="AG67" s="367"/>
      <c r="AH67" s="367"/>
      <c r="AI67" s="367"/>
      <c r="AJ67" s="367"/>
      <c r="AK67" s="367"/>
      <c r="AL67" s="367"/>
      <c r="AM67" s="367"/>
      <c r="AN67" s="367"/>
      <c r="AO67" s="367"/>
      <c r="AP67" s="367"/>
      <c r="AQ67" s="367"/>
      <c r="AR67" s="367"/>
      <c r="AS67" s="367"/>
      <c r="AT67" s="367"/>
      <c r="AU67" s="367"/>
      <c r="AV67" s="367"/>
      <c r="AW67" s="367"/>
      <c r="AX67" s="367"/>
      <c r="AY67" s="367"/>
      <c r="AZ67" s="367"/>
    </row>
    <row r="68" spans="2:52" ht="15.75" x14ac:dyDescent="0.25">
      <c r="B68"/>
      <c r="C68"/>
      <c r="D68"/>
      <c r="E68"/>
      <c r="F68"/>
      <c r="G68"/>
      <c r="H68"/>
      <c r="I68"/>
      <c r="J68"/>
      <c r="K68"/>
      <c r="L68" s="367"/>
      <c r="M68" s="367"/>
      <c r="N68" s="367"/>
      <c r="O68" s="367"/>
      <c r="P68" s="367"/>
      <c r="Q68" s="367"/>
      <c r="R68" s="367"/>
      <c r="S68" s="367"/>
      <c r="T68" s="367"/>
      <c r="U68" s="367"/>
      <c r="V68" s="367"/>
      <c r="W68" s="367"/>
      <c r="X68" s="367"/>
      <c r="Y68" s="367"/>
      <c r="Z68" s="367"/>
      <c r="AA68" s="367"/>
      <c r="AB68" s="29"/>
      <c r="AC68" s="367"/>
      <c r="AD68" s="367"/>
      <c r="AE68" s="367"/>
      <c r="AF68" s="367"/>
      <c r="AG68" s="367"/>
      <c r="AH68" s="367"/>
      <c r="AI68" s="367"/>
      <c r="AJ68" s="367"/>
      <c r="AK68" s="367"/>
      <c r="AL68" s="367"/>
      <c r="AM68" s="367"/>
      <c r="AN68" s="367"/>
      <c r="AO68" s="367"/>
      <c r="AP68" s="367"/>
      <c r="AQ68" s="367"/>
      <c r="AR68" s="367"/>
      <c r="AS68" s="367"/>
      <c r="AT68" s="367"/>
      <c r="AU68" s="367"/>
      <c r="AV68" s="367"/>
      <c r="AW68" s="367"/>
      <c r="AX68" s="367"/>
      <c r="AY68" s="367"/>
      <c r="AZ68" s="367"/>
    </row>
    <row r="69" spans="2:52" ht="8.25" customHeight="1" x14ac:dyDescent="0.25">
      <c r="B69"/>
      <c r="C69"/>
      <c r="D69"/>
      <c r="E69"/>
      <c r="F69"/>
      <c r="G69"/>
      <c r="H69"/>
      <c r="I69"/>
      <c r="J69"/>
      <c r="K69"/>
      <c r="L69" s="367"/>
      <c r="M69" s="367"/>
      <c r="N69" s="367"/>
      <c r="O69" s="367"/>
      <c r="P69" s="367"/>
      <c r="Q69" s="367"/>
      <c r="R69" s="367"/>
      <c r="S69" s="367"/>
      <c r="T69" s="367"/>
      <c r="U69" s="367"/>
      <c r="V69" s="367"/>
      <c r="W69" s="367"/>
      <c r="X69" s="367"/>
      <c r="Y69" s="367"/>
      <c r="Z69" s="367"/>
      <c r="AA69" s="367"/>
      <c r="AB69" s="29"/>
      <c r="AC69" s="367"/>
      <c r="AD69" s="367"/>
      <c r="AE69" s="367"/>
      <c r="AF69" s="367"/>
      <c r="AG69" s="367"/>
      <c r="AH69" s="367"/>
      <c r="AI69" s="367"/>
      <c r="AJ69" s="367"/>
      <c r="AK69" s="367"/>
      <c r="AL69" s="367"/>
      <c r="AM69" s="367"/>
      <c r="AN69" s="367"/>
      <c r="AO69" s="367"/>
      <c r="AP69" s="367"/>
      <c r="AQ69" s="367"/>
      <c r="AR69" s="367"/>
      <c r="AS69" s="367"/>
      <c r="AT69" s="367"/>
      <c r="AU69" s="367"/>
      <c r="AV69" s="367"/>
      <c r="AW69" s="367"/>
      <c r="AX69" s="367"/>
      <c r="AY69" s="367"/>
      <c r="AZ69" s="367"/>
    </row>
    <row r="70" spans="2:52" ht="15.75" x14ac:dyDescent="0.25">
      <c r="B70"/>
      <c r="C70"/>
      <c r="D70"/>
      <c r="E70"/>
      <c r="F70"/>
      <c r="G70"/>
      <c r="H70"/>
      <c r="I70"/>
      <c r="J70"/>
      <c r="K70"/>
      <c r="L70" s="367"/>
      <c r="M70" s="367"/>
      <c r="N70" s="367"/>
      <c r="O70" s="367"/>
      <c r="P70" s="367"/>
      <c r="Q70" s="367"/>
      <c r="R70" s="367"/>
      <c r="S70" s="367"/>
      <c r="T70" s="367"/>
      <c r="U70" s="367"/>
      <c r="V70" s="367"/>
      <c r="W70" s="367"/>
      <c r="X70" s="367"/>
      <c r="Y70" s="367"/>
      <c r="Z70" s="367"/>
      <c r="AA70" s="367"/>
      <c r="AB70" s="29"/>
      <c r="AC70" s="367"/>
      <c r="AD70" s="367"/>
      <c r="AE70" s="367"/>
      <c r="AF70" s="367"/>
      <c r="AG70" s="367"/>
      <c r="AH70" s="367"/>
      <c r="AI70" s="367"/>
      <c r="AJ70" s="367"/>
      <c r="AK70" s="367"/>
      <c r="AL70" s="367"/>
      <c r="AM70" s="367"/>
      <c r="AN70" s="367"/>
      <c r="AO70" s="367"/>
      <c r="AP70" s="367"/>
      <c r="AQ70" s="367"/>
      <c r="AR70" s="367"/>
      <c r="AS70" s="367"/>
      <c r="AT70" s="367"/>
      <c r="AU70" s="367"/>
      <c r="AV70" s="367"/>
      <c r="AW70" s="367"/>
      <c r="AX70" s="367"/>
      <c r="AY70" s="367"/>
      <c r="AZ70" s="367"/>
    </row>
    <row r="71" spans="2:52" ht="15.75" x14ac:dyDescent="0.25">
      <c r="B71"/>
      <c r="C71"/>
      <c r="D71"/>
      <c r="E71"/>
      <c r="F71"/>
      <c r="G71"/>
      <c r="H71"/>
      <c r="I71"/>
      <c r="J71"/>
      <c r="K71"/>
      <c r="L71" s="367"/>
      <c r="M71" s="367"/>
      <c r="N71" s="367"/>
      <c r="O71" s="367"/>
      <c r="P71" s="367"/>
      <c r="Q71" s="367"/>
      <c r="R71" s="367"/>
      <c r="S71" s="367"/>
      <c r="T71" s="367"/>
      <c r="U71" s="367"/>
      <c r="V71" s="367"/>
      <c r="W71" s="367"/>
      <c r="X71" s="367"/>
      <c r="Y71" s="367"/>
      <c r="Z71" s="367"/>
      <c r="AA71" s="367"/>
      <c r="AB71" s="29"/>
      <c r="AC71" s="367"/>
      <c r="AD71" s="367"/>
      <c r="AE71" s="367"/>
      <c r="AF71" s="367"/>
      <c r="AG71" s="367"/>
      <c r="AH71" s="367"/>
      <c r="AI71" s="367"/>
      <c r="AJ71" s="367"/>
      <c r="AK71" s="367"/>
      <c r="AL71" s="367"/>
      <c r="AM71" s="367"/>
      <c r="AN71" s="367"/>
      <c r="AO71" s="367"/>
      <c r="AP71" s="367"/>
      <c r="AQ71" s="367"/>
      <c r="AR71" s="367"/>
      <c r="AS71" s="367"/>
      <c r="AT71" s="367"/>
      <c r="AU71" s="367"/>
      <c r="AV71" s="367"/>
      <c r="AW71" s="367"/>
      <c r="AX71" s="367"/>
      <c r="AY71" s="367"/>
      <c r="AZ71" s="367"/>
    </row>
    <row r="72" spans="2:52" ht="15.75" x14ac:dyDescent="0.25">
      <c r="B72"/>
      <c r="C72"/>
      <c r="D72"/>
      <c r="E72"/>
      <c r="F72"/>
      <c r="G72"/>
      <c r="H72"/>
      <c r="I72"/>
      <c r="J72"/>
      <c r="K72"/>
      <c r="L72" s="367"/>
      <c r="M72" s="367"/>
      <c r="N72" s="367"/>
      <c r="O72" s="367"/>
      <c r="P72" s="367"/>
      <c r="Q72" s="367"/>
      <c r="R72" s="367"/>
      <c r="S72" s="367"/>
      <c r="T72" s="367"/>
      <c r="U72" s="367"/>
      <c r="V72" s="367"/>
      <c r="W72" s="367"/>
      <c r="X72" s="367"/>
      <c r="Y72" s="367"/>
      <c r="Z72" s="367"/>
      <c r="AA72" s="367"/>
      <c r="AB72" s="29"/>
      <c r="AC72" s="367"/>
      <c r="AD72" s="367"/>
      <c r="AE72" s="367"/>
      <c r="AF72" s="367"/>
      <c r="AG72" s="367"/>
      <c r="AH72" s="367"/>
      <c r="AI72" s="367"/>
      <c r="AJ72" s="367"/>
      <c r="AK72" s="367"/>
      <c r="AL72" s="367"/>
      <c r="AM72" s="367"/>
      <c r="AN72" s="367"/>
      <c r="AO72" s="367"/>
      <c r="AP72" s="367"/>
      <c r="AQ72" s="367"/>
      <c r="AR72" s="367"/>
      <c r="AS72" s="367"/>
      <c r="AT72" s="367"/>
      <c r="AU72" s="367"/>
      <c r="AV72" s="367"/>
      <c r="AW72" s="367"/>
      <c r="AX72" s="367"/>
      <c r="AY72" s="367"/>
      <c r="AZ72" s="367"/>
    </row>
    <row r="73" spans="2:52" ht="15.75" x14ac:dyDescent="0.25">
      <c r="B73"/>
      <c r="C73"/>
      <c r="D73"/>
      <c r="E73"/>
      <c r="F73"/>
      <c r="G73"/>
      <c r="H73"/>
      <c r="I73"/>
      <c r="J73"/>
      <c r="K73"/>
      <c r="L73" s="367"/>
      <c r="M73" s="367"/>
      <c r="N73" s="367"/>
      <c r="O73" s="367"/>
      <c r="P73" s="367"/>
      <c r="Q73" s="367"/>
      <c r="R73" s="367"/>
      <c r="S73" s="367"/>
      <c r="T73" s="367"/>
      <c r="U73" s="367"/>
      <c r="V73" s="367"/>
      <c r="W73" s="367"/>
      <c r="X73" s="367"/>
      <c r="Y73" s="367"/>
      <c r="Z73" s="367"/>
      <c r="AA73" s="367"/>
      <c r="AB73" s="29"/>
      <c r="AC73" s="367"/>
      <c r="AD73" s="367"/>
      <c r="AE73" s="367"/>
      <c r="AF73" s="367"/>
      <c r="AG73" s="367"/>
      <c r="AH73" s="367"/>
      <c r="AI73" s="367"/>
      <c r="AJ73" s="367"/>
      <c r="AK73" s="367"/>
      <c r="AL73" s="367"/>
      <c r="AM73" s="367"/>
      <c r="AN73" s="367"/>
      <c r="AO73" s="367"/>
      <c r="AP73" s="367"/>
      <c r="AQ73" s="367"/>
      <c r="AR73" s="367"/>
      <c r="AS73" s="367"/>
      <c r="AT73" s="367"/>
      <c r="AU73" s="367"/>
      <c r="AV73" s="367"/>
      <c r="AW73" s="367"/>
      <c r="AX73" s="367"/>
      <c r="AY73" s="367"/>
      <c r="AZ73" s="367"/>
    </row>
    <row r="74" spans="2:52" s="20" customFormat="1" ht="15.75" x14ac:dyDescent="0.25">
      <c r="B74"/>
      <c r="C74"/>
      <c r="D74"/>
      <c r="E74"/>
      <c r="F74"/>
      <c r="G74"/>
      <c r="H74"/>
      <c r="I74"/>
      <c r="J74"/>
      <c r="K74"/>
      <c r="L74" s="367"/>
      <c r="M74" s="367"/>
      <c r="N74" s="367"/>
      <c r="O74" s="367"/>
      <c r="P74" s="367"/>
      <c r="Q74" s="367"/>
      <c r="R74" s="367"/>
      <c r="S74" s="367"/>
      <c r="T74" s="367"/>
      <c r="U74" s="367"/>
      <c r="V74" s="367"/>
      <c r="W74" s="367"/>
      <c r="X74" s="367"/>
      <c r="Y74" s="367"/>
      <c r="Z74" s="367"/>
      <c r="AA74" s="367"/>
      <c r="AB74" s="51"/>
      <c r="AC74" s="367"/>
      <c r="AD74" s="367"/>
      <c r="AE74" s="367"/>
      <c r="AF74" s="367"/>
      <c r="AG74" s="367"/>
      <c r="AH74" s="367"/>
      <c r="AI74" s="367"/>
      <c r="AJ74" s="367"/>
      <c r="AK74" s="367"/>
      <c r="AL74" s="367"/>
      <c r="AM74" s="367"/>
      <c r="AN74" s="367"/>
      <c r="AO74" s="367"/>
      <c r="AP74" s="367"/>
      <c r="AQ74" s="367"/>
      <c r="AR74" s="367"/>
      <c r="AS74" s="367"/>
      <c r="AT74" s="367"/>
      <c r="AU74" s="367"/>
      <c r="AV74" s="367"/>
      <c r="AW74" s="367"/>
      <c r="AX74" s="367"/>
      <c r="AY74" s="367"/>
      <c r="AZ74" s="367"/>
    </row>
    <row r="75" spans="2:52" ht="15.75" x14ac:dyDescent="0.25">
      <c r="B75"/>
      <c r="C75"/>
      <c r="D75"/>
      <c r="E75"/>
      <c r="F75"/>
      <c r="G75"/>
      <c r="H75"/>
      <c r="I75"/>
      <c r="J75"/>
      <c r="K75"/>
      <c r="L75" s="367"/>
      <c r="M75" s="367"/>
      <c r="N75" s="367"/>
      <c r="O75" s="367"/>
      <c r="P75" s="367"/>
      <c r="Q75" s="367"/>
      <c r="R75" s="367"/>
      <c r="S75" s="367"/>
      <c r="T75" s="367"/>
      <c r="U75" s="367"/>
      <c r="V75" s="367"/>
      <c r="W75" s="367"/>
      <c r="X75" s="367"/>
      <c r="Y75" s="367"/>
      <c r="Z75" s="367"/>
      <c r="AA75" s="367"/>
      <c r="AB75" s="29"/>
      <c r="AC75" s="367"/>
      <c r="AD75" s="367"/>
      <c r="AE75" s="367"/>
      <c r="AF75" s="367"/>
      <c r="AG75" s="367"/>
      <c r="AH75" s="367"/>
      <c r="AI75" s="367"/>
      <c r="AJ75" s="367"/>
      <c r="AK75" s="367"/>
      <c r="AL75" s="367"/>
      <c r="AM75" s="367"/>
      <c r="AN75" s="367"/>
      <c r="AO75" s="367"/>
      <c r="AP75" s="367"/>
      <c r="AQ75" s="367"/>
      <c r="AR75" s="367"/>
      <c r="AS75" s="367"/>
      <c r="AT75" s="367"/>
      <c r="AU75" s="367"/>
      <c r="AV75" s="367"/>
      <c r="AW75" s="367"/>
      <c r="AX75" s="367"/>
      <c r="AY75" s="367"/>
      <c r="AZ75" s="367"/>
    </row>
    <row r="76" spans="2:52" ht="15.75" x14ac:dyDescent="0.25">
      <c r="B76"/>
      <c r="C76"/>
      <c r="D76"/>
      <c r="E76"/>
      <c r="F76"/>
      <c r="G76"/>
      <c r="H76"/>
      <c r="I76"/>
      <c r="J76"/>
      <c r="K76"/>
      <c r="L76" s="367"/>
      <c r="M76" s="367"/>
      <c r="N76" s="367"/>
      <c r="O76" s="367"/>
      <c r="P76" s="367"/>
      <c r="Q76" s="367"/>
      <c r="R76" s="367"/>
      <c r="S76" s="367"/>
      <c r="T76" s="367"/>
      <c r="U76" s="367"/>
      <c r="V76" s="367"/>
      <c r="W76" s="367"/>
      <c r="X76" s="367"/>
      <c r="Y76" s="367"/>
      <c r="Z76" s="367"/>
      <c r="AA76" s="367"/>
      <c r="AB76" s="29"/>
      <c r="AC76" s="367"/>
      <c r="AD76" s="367"/>
      <c r="AE76" s="367"/>
      <c r="AF76" s="367"/>
      <c r="AG76" s="367"/>
      <c r="AH76" s="367"/>
      <c r="AI76" s="367"/>
      <c r="AJ76" s="367"/>
      <c r="AK76" s="367"/>
      <c r="AL76" s="367"/>
      <c r="AM76" s="367"/>
      <c r="AN76" s="367"/>
      <c r="AO76" s="367"/>
      <c r="AP76" s="367"/>
      <c r="AQ76" s="367"/>
      <c r="AR76" s="367"/>
      <c r="AS76" s="367"/>
      <c r="AT76" s="367"/>
      <c r="AU76" s="367"/>
      <c r="AV76" s="367"/>
      <c r="AW76" s="367"/>
      <c r="AX76" s="367"/>
      <c r="AY76" s="367"/>
      <c r="AZ76" s="367"/>
    </row>
    <row r="77" spans="2:52" ht="15.75" x14ac:dyDescent="0.25">
      <c r="B77"/>
      <c r="C77"/>
      <c r="D77"/>
      <c r="E77"/>
      <c r="F77"/>
      <c r="G77"/>
      <c r="H77"/>
      <c r="I77"/>
      <c r="J77"/>
      <c r="K77"/>
      <c r="L77" s="367"/>
      <c r="M77" s="367"/>
      <c r="N77" s="367"/>
      <c r="O77" s="367"/>
      <c r="P77" s="367"/>
      <c r="Q77" s="367"/>
      <c r="R77" s="367"/>
      <c r="S77" s="367"/>
      <c r="T77" s="367"/>
      <c r="U77" s="367"/>
      <c r="V77" s="367"/>
      <c r="W77" s="367"/>
      <c r="X77" s="367"/>
      <c r="Y77" s="367"/>
      <c r="Z77" s="367"/>
      <c r="AA77" s="367"/>
      <c r="AB77" s="29"/>
      <c r="AC77" s="367"/>
      <c r="AD77" s="367"/>
      <c r="AE77" s="367"/>
      <c r="AF77" s="367"/>
      <c r="AG77" s="367"/>
      <c r="AH77" s="367"/>
      <c r="AI77" s="367"/>
      <c r="AJ77" s="367"/>
      <c r="AK77" s="367"/>
      <c r="AL77" s="367"/>
      <c r="AM77" s="367"/>
      <c r="AN77" s="367"/>
      <c r="AO77" s="367"/>
      <c r="AP77" s="367"/>
      <c r="AQ77" s="367"/>
      <c r="AR77" s="367"/>
      <c r="AS77" s="367"/>
      <c r="AT77" s="367"/>
      <c r="AU77" s="367"/>
      <c r="AV77" s="367"/>
      <c r="AW77" s="367"/>
      <c r="AX77" s="367"/>
      <c r="AY77" s="367"/>
      <c r="AZ77" s="367"/>
    </row>
    <row r="78" spans="2:52" ht="15.75" x14ac:dyDescent="0.25">
      <c r="B78"/>
      <c r="C78"/>
      <c r="D78"/>
      <c r="E78"/>
      <c r="F78"/>
      <c r="G78"/>
      <c r="H78"/>
      <c r="I78"/>
      <c r="J78"/>
      <c r="K78"/>
      <c r="L78" s="367"/>
      <c r="M78" s="367"/>
      <c r="N78" s="367"/>
      <c r="O78" s="367"/>
      <c r="P78" s="367"/>
      <c r="Q78" s="367"/>
      <c r="R78" s="367"/>
      <c r="S78" s="367"/>
      <c r="T78" s="367"/>
      <c r="U78" s="367"/>
      <c r="V78" s="367"/>
      <c r="W78" s="367"/>
      <c r="X78" s="367"/>
      <c r="Y78" s="367"/>
      <c r="Z78" s="367"/>
      <c r="AA78" s="367"/>
      <c r="AB78" s="29"/>
      <c r="AC78" s="367"/>
      <c r="AD78" s="367"/>
      <c r="AE78" s="367"/>
      <c r="AF78" s="367"/>
      <c r="AG78" s="367"/>
      <c r="AH78" s="367"/>
      <c r="AI78" s="367"/>
      <c r="AJ78" s="367"/>
      <c r="AK78" s="367"/>
      <c r="AL78" s="367"/>
      <c r="AM78" s="367"/>
      <c r="AN78" s="367"/>
      <c r="AO78" s="367"/>
      <c r="AP78" s="367"/>
      <c r="AQ78" s="367"/>
      <c r="AR78" s="367"/>
      <c r="AS78" s="367"/>
      <c r="AT78" s="367"/>
      <c r="AU78" s="367"/>
      <c r="AV78" s="367"/>
      <c r="AW78" s="367"/>
      <c r="AX78" s="367"/>
      <c r="AY78" s="367"/>
      <c r="AZ78" s="367"/>
    </row>
    <row r="79" spans="2:52" ht="15.75" x14ac:dyDescent="0.25">
      <c r="B79"/>
      <c r="C79"/>
      <c r="D79"/>
      <c r="E79"/>
      <c r="F79"/>
      <c r="G79"/>
      <c r="H79"/>
      <c r="I79"/>
      <c r="J79"/>
      <c r="K79"/>
      <c r="L79" s="367"/>
      <c r="M79" s="367"/>
      <c r="N79" s="367"/>
      <c r="O79" s="367"/>
      <c r="P79" s="367"/>
      <c r="Q79" s="367"/>
      <c r="R79" s="367"/>
      <c r="S79" s="367"/>
      <c r="T79" s="367"/>
      <c r="U79" s="367"/>
      <c r="V79" s="367"/>
      <c r="W79" s="367"/>
      <c r="X79" s="367"/>
      <c r="Y79" s="367"/>
      <c r="Z79" s="367"/>
      <c r="AA79" s="367"/>
      <c r="AB79" s="29"/>
      <c r="AC79" s="367"/>
      <c r="AD79" s="367"/>
      <c r="AE79" s="367"/>
      <c r="AF79" s="367"/>
      <c r="AG79" s="367"/>
      <c r="AH79" s="367"/>
      <c r="AI79" s="367"/>
      <c r="AJ79" s="367"/>
      <c r="AK79" s="367"/>
      <c r="AL79" s="367"/>
      <c r="AM79" s="367"/>
      <c r="AN79" s="367"/>
      <c r="AO79" s="367"/>
      <c r="AP79" s="367"/>
      <c r="AQ79" s="367"/>
      <c r="AR79" s="367"/>
      <c r="AS79" s="367"/>
      <c r="AT79" s="367"/>
      <c r="AU79" s="367"/>
      <c r="AV79" s="367"/>
      <c r="AW79" s="367"/>
      <c r="AX79" s="367"/>
      <c r="AY79" s="367"/>
      <c r="AZ79" s="367"/>
    </row>
    <row r="80" spans="2:52" ht="8.25" customHeight="1" x14ac:dyDescent="0.25">
      <c r="B80"/>
      <c r="C80"/>
      <c r="D80"/>
      <c r="E80"/>
      <c r="F80"/>
      <c r="G80"/>
      <c r="H80"/>
      <c r="I80"/>
      <c r="J80"/>
      <c r="K80"/>
      <c r="L80" s="367"/>
      <c r="M80" s="367"/>
      <c r="N80" s="367"/>
      <c r="O80" s="367"/>
      <c r="P80" s="367"/>
      <c r="Q80" s="367"/>
      <c r="R80" s="367"/>
      <c r="S80" s="367"/>
      <c r="T80" s="367"/>
      <c r="U80" s="367"/>
      <c r="V80" s="367"/>
      <c r="W80" s="367"/>
      <c r="X80" s="367"/>
      <c r="Y80" s="367"/>
      <c r="Z80" s="367"/>
      <c r="AA80" s="367"/>
      <c r="AB80" s="29"/>
      <c r="AC80" s="367"/>
      <c r="AD80" s="367"/>
      <c r="AE80" s="367"/>
      <c r="AF80" s="367"/>
      <c r="AG80" s="367"/>
      <c r="AH80" s="367"/>
      <c r="AI80" s="367"/>
      <c r="AJ80" s="367"/>
      <c r="AK80" s="367"/>
      <c r="AL80" s="367"/>
      <c r="AM80" s="367"/>
      <c r="AN80" s="367"/>
      <c r="AO80" s="367"/>
      <c r="AP80" s="367"/>
      <c r="AQ80" s="367"/>
      <c r="AR80" s="367"/>
      <c r="AS80" s="367"/>
      <c r="AT80" s="367"/>
      <c r="AU80" s="367"/>
      <c r="AV80" s="367"/>
      <c r="AW80" s="367"/>
      <c r="AX80" s="367"/>
      <c r="AY80" s="367"/>
      <c r="AZ80" s="367"/>
    </row>
    <row r="81" spans="2:52" ht="15.75" x14ac:dyDescent="0.25">
      <c r="B81"/>
      <c r="C81"/>
      <c r="D81"/>
      <c r="E81"/>
      <c r="F81"/>
      <c r="G81"/>
      <c r="H81"/>
      <c r="I81"/>
      <c r="J81"/>
      <c r="K81"/>
      <c r="L81" s="367"/>
      <c r="M81" s="367"/>
      <c r="N81" s="367"/>
      <c r="O81" s="367"/>
      <c r="P81" s="367"/>
      <c r="Q81" s="367"/>
      <c r="R81" s="367"/>
      <c r="S81" s="367"/>
      <c r="T81" s="367"/>
      <c r="U81" s="367"/>
      <c r="V81" s="367"/>
      <c r="W81" s="367"/>
      <c r="X81" s="367"/>
      <c r="Y81" s="367"/>
      <c r="Z81" s="367"/>
      <c r="AA81" s="367"/>
      <c r="AB81" s="29"/>
      <c r="AC81" s="367"/>
      <c r="AD81" s="367"/>
      <c r="AE81" s="367"/>
      <c r="AF81" s="367"/>
      <c r="AG81" s="367"/>
      <c r="AH81" s="367"/>
      <c r="AI81" s="367"/>
      <c r="AJ81" s="367"/>
      <c r="AK81" s="367"/>
      <c r="AL81" s="367"/>
      <c r="AM81" s="367"/>
      <c r="AN81" s="367"/>
      <c r="AO81" s="367"/>
      <c r="AP81" s="367"/>
      <c r="AQ81" s="367"/>
      <c r="AR81" s="367"/>
      <c r="AS81" s="367"/>
      <c r="AT81" s="367"/>
      <c r="AU81" s="367"/>
      <c r="AV81" s="367"/>
      <c r="AW81" s="367"/>
      <c r="AX81" s="367"/>
      <c r="AY81" s="367"/>
      <c r="AZ81" s="367"/>
    </row>
    <row r="82" spans="2:52" s="20" customFormat="1" ht="15.75" x14ac:dyDescent="0.25">
      <c r="B82"/>
      <c r="C82"/>
      <c r="D82"/>
      <c r="E82"/>
      <c r="F82"/>
      <c r="G82"/>
      <c r="H82"/>
      <c r="I82"/>
      <c r="J82"/>
      <c r="K82"/>
      <c r="L82" s="367"/>
      <c r="M82" s="367"/>
      <c r="N82" s="367"/>
      <c r="O82" s="367"/>
      <c r="P82" s="367"/>
      <c r="Q82" s="367"/>
      <c r="R82" s="367"/>
      <c r="S82" s="367"/>
      <c r="T82" s="367"/>
      <c r="U82" s="367"/>
      <c r="V82" s="367"/>
      <c r="W82" s="367"/>
      <c r="X82" s="367"/>
      <c r="Y82" s="367"/>
      <c r="Z82" s="367"/>
      <c r="AA82" s="367"/>
      <c r="AB82" s="51"/>
      <c r="AC82" s="367"/>
      <c r="AD82" s="367"/>
      <c r="AE82" s="367"/>
      <c r="AF82" s="367"/>
      <c r="AG82" s="367"/>
      <c r="AH82" s="367"/>
      <c r="AI82" s="367"/>
      <c r="AJ82" s="367"/>
      <c r="AK82" s="367"/>
      <c r="AL82" s="367"/>
      <c r="AM82" s="367"/>
      <c r="AN82" s="367"/>
      <c r="AO82" s="367"/>
      <c r="AP82" s="367"/>
      <c r="AQ82" s="367"/>
      <c r="AR82" s="367"/>
      <c r="AS82" s="367"/>
      <c r="AT82" s="367"/>
      <c r="AU82" s="367"/>
      <c r="AV82" s="367"/>
      <c r="AW82" s="367"/>
      <c r="AX82" s="367"/>
      <c r="AY82" s="367"/>
      <c r="AZ82" s="367"/>
    </row>
    <row r="83" spans="2:52" s="21" customFormat="1" ht="15.75" x14ac:dyDescent="0.25">
      <c r="B83"/>
      <c r="C83"/>
      <c r="D83"/>
      <c r="E83"/>
      <c r="F83"/>
      <c r="G83"/>
      <c r="H83"/>
      <c r="I83"/>
      <c r="J83"/>
      <c r="K83"/>
      <c r="L83" s="367"/>
      <c r="M83" s="367"/>
      <c r="N83" s="367"/>
      <c r="O83" s="367"/>
      <c r="P83" s="367"/>
      <c r="Q83" s="367"/>
      <c r="R83" s="367"/>
      <c r="S83" s="367"/>
      <c r="T83" s="367"/>
      <c r="U83" s="367"/>
      <c r="V83" s="367"/>
      <c r="W83" s="367"/>
      <c r="X83" s="367"/>
      <c r="Y83" s="367"/>
      <c r="Z83" s="367"/>
      <c r="AA83" s="367"/>
      <c r="AC83" s="367"/>
      <c r="AD83" s="367"/>
      <c r="AE83" s="367"/>
      <c r="AF83" s="367"/>
      <c r="AG83" s="367"/>
      <c r="AH83" s="367"/>
      <c r="AI83" s="367"/>
      <c r="AJ83" s="367"/>
      <c r="AK83" s="367"/>
      <c r="AL83" s="367"/>
      <c r="AM83" s="367"/>
      <c r="AN83" s="367"/>
      <c r="AO83" s="367"/>
      <c r="AP83" s="367"/>
      <c r="AQ83" s="367"/>
      <c r="AR83" s="367"/>
      <c r="AS83" s="367"/>
      <c r="AT83" s="367"/>
      <c r="AU83" s="367"/>
      <c r="AV83" s="367"/>
      <c r="AW83" s="367"/>
      <c r="AX83" s="367"/>
      <c r="AY83" s="367"/>
      <c r="AZ83" s="367"/>
    </row>
    <row r="84" spans="2:52" s="21" customFormat="1" ht="15.75" x14ac:dyDescent="0.25">
      <c r="B84"/>
      <c r="C84"/>
      <c r="D84"/>
      <c r="E84"/>
      <c r="F84"/>
      <c r="G84"/>
      <c r="H84"/>
      <c r="I84"/>
      <c r="J84"/>
      <c r="K84"/>
      <c r="L84" s="367"/>
      <c r="M84" s="367"/>
      <c r="N84" s="367"/>
      <c r="O84" s="367"/>
      <c r="P84" s="367"/>
      <c r="Q84" s="367"/>
      <c r="R84" s="367"/>
      <c r="S84" s="367"/>
      <c r="T84" s="367"/>
      <c r="U84" s="367"/>
      <c r="V84" s="367"/>
      <c r="W84" s="367"/>
      <c r="X84" s="367"/>
      <c r="Y84" s="367"/>
      <c r="Z84" s="367"/>
      <c r="AA84" s="367"/>
      <c r="AC84" s="367"/>
      <c r="AD84" s="367"/>
      <c r="AE84" s="367"/>
      <c r="AF84" s="367"/>
      <c r="AG84" s="367"/>
      <c r="AH84" s="367"/>
      <c r="AI84" s="367"/>
      <c r="AJ84" s="367"/>
      <c r="AK84" s="367"/>
      <c r="AL84" s="367"/>
      <c r="AM84" s="367"/>
      <c r="AN84" s="367"/>
      <c r="AO84" s="367"/>
      <c r="AP84" s="367"/>
      <c r="AQ84" s="367"/>
      <c r="AR84" s="367"/>
      <c r="AS84" s="367"/>
      <c r="AT84" s="367"/>
      <c r="AU84" s="367"/>
      <c r="AV84" s="367"/>
      <c r="AW84" s="367"/>
      <c r="AX84" s="367"/>
      <c r="AY84" s="367"/>
      <c r="AZ84" s="367"/>
    </row>
    <row r="85" spans="2:52" s="45" customFormat="1" ht="15.75" x14ac:dyDescent="0.25">
      <c r="B85"/>
      <c r="C85"/>
      <c r="D85"/>
      <c r="E85"/>
      <c r="F85"/>
      <c r="G85"/>
      <c r="H85"/>
      <c r="I85"/>
      <c r="J85"/>
      <c r="K85"/>
      <c r="L85" s="367"/>
      <c r="M85" s="367"/>
      <c r="N85" s="367"/>
      <c r="O85" s="367"/>
      <c r="P85" s="367"/>
      <c r="Q85" s="367"/>
      <c r="R85" s="367"/>
      <c r="S85" s="367"/>
      <c r="T85" s="367"/>
      <c r="U85" s="367"/>
      <c r="V85" s="367"/>
      <c r="W85" s="367"/>
      <c r="X85" s="367"/>
      <c r="Y85" s="367"/>
      <c r="Z85" s="367"/>
      <c r="AA85" s="367"/>
      <c r="AB85" s="44"/>
      <c r="AC85" s="367"/>
      <c r="AD85" s="367"/>
      <c r="AE85" s="367"/>
      <c r="AF85" s="367"/>
      <c r="AG85" s="367"/>
      <c r="AH85" s="367"/>
      <c r="AI85" s="367"/>
      <c r="AJ85" s="367"/>
      <c r="AK85" s="367"/>
      <c r="AL85" s="367"/>
      <c r="AM85" s="367"/>
      <c r="AN85" s="367"/>
      <c r="AO85" s="367"/>
      <c r="AP85" s="367"/>
      <c r="AQ85" s="367"/>
      <c r="AR85" s="367"/>
      <c r="AS85" s="367"/>
      <c r="AT85" s="367"/>
      <c r="AU85" s="367"/>
      <c r="AV85" s="367"/>
      <c r="AW85" s="367"/>
      <c r="AX85" s="367"/>
      <c r="AY85" s="367"/>
      <c r="AZ85" s="367"/>
    </row>
    <row r="86" spans="2:52" s="21" customFormat="1" ht="15.75" x14ac:dyDescent="0.25">
      <c r="B86"/>
      <c r="C86"/>
      <c r="D86"/>
      <c r="E86"/>
      <c r="F86"/>
      <c r="G86"/>
      <c r="H86"/>
      <c r="I86"/>
      <c r="J86"/>
      <c r="K86"/>
      <c r="L86" s="367"/>
      <c r="M86" s="367"/>
      <c r="N86" s="367"/>
      <c r="O86" s="367"/>
      <c r="P86" s="367"/>
      <c r="Q86" s="367"/>
      <c r="R86" s="367"/>
      <c r="S86" s="367"/>
      <c r="T86" s="367"/>
      <c r="U86" s="367"/>
      <c r="V86" s="367"/>
      <c r="W86" s="367"/>
      <c r="X86" s="367"/>
      <c r="Y86" s="367"/>
      <c r="Z86" s="367"/>
      <c r="AA86" s="367"/>
      <c r="AB86" s="29"/>
      <c r="AC86" s="367"/>
      <c r="AD86" s="367"/>
      <c r="AE86" s="367"/>
      <c r="AF86" s="367"/>
      <c r="AG86" s="367"/>
      <c r="AH86" s="367"/>
      <c r="AI86" s="367"/>
      <c r="AJ86" s="367"/>
      <c r="AK86" s="367"/>
      <c r="AL86" s="367"/>
      <c r="AM86" s="367"/>
      <c r="AN86" s="367"/>
      <c r="AO86" s="367"/>
      <c r="AP86" s="367"/>
      <c r="AQ86" s="367"/>
      <c r="AR86" s="367"/>
      <c r="AS86" s="367"/>
      <c r="AT86" s="367"/>
      <c r="AU86" s="367"/>
      <c r="AV86" s="367"/>
      <c r="AW86" s="367"/>
      <c r="AX86" s="367"/>
      <c r="AY86" s="367"/>
      <c r="AZ86" s="367"/>
    </row>
    <row r="87" spans="2:52" s="76" customFormat="1" ht="15.75" x14ac:dyDescent="0.25">
      <c r="B87"/>
      <c r="C87"/>
      <c r="D87"/>
      <c r="E87"/>
      <c r="F87"/>
      <c r="G87"/>
      <c r="H87"/>
      <c r="I87"/>
      <c r="J87"/>
      <c r="K87"/>
      <c r="L87" s="367"/>
      <c r="M87" s="367"/>
      <c r="N87" s="367"/>
      <c r="O87" s="367"/>
      <c r="P87" s="367"/>
      <c r="Q87" s="367"/>
      <c r="R87" s="367"/>
      <c r="S87" s="367"/>
      <c r="T87" s="367"/>
      <c r="U87" s="367"/>
      <c r="V87" s="367"/>
      <c r="W87" s="367"/>
      <c r="X87" s="367"/>
      <c r="Y87" s="367"/>
      <c r="Z87" s="367"/>
      <c r="AA87" s="367"/>
      <c r="AB87" s="75"/>
      <c r="AC87" s="367"/>
      <c r="AD87" s="367"/>
      <c r="AE87" s="367"/>
      <c r="AF87" s="367"/>
      <c r="AG87" s="367"/>
      <c r="AH87" s="367"/>
      <c r="AI87" s="367"/>
      <c r="AJ87" s="367"/>
      <c r="AK87" s="367"/>
      <c r="AL87" s="367"/>
      <c r="AM87" s="367"/>
      <c r="AN87" s="367"/>
      <c r="AO87" s="367"/>
      <c r="AP87" s="367"/>
      <c r="AQ87" s="367"/>
      <c r="AR87" s="367"/>
      <c r="AS87" s="367"/>
      <c r="AT87" s="367"/>
      <c r="AU87" s="367"/>
      <c r="AV87" s="367"/>
      <c r="AW87" s="367"/>
      <c r="AX87" s="367"/>
      <c r="AY87" s="367"/>
      <c r="AZ87" s="367"/>
    </row>
    <row r="88" spans="2:52" s="76" customFormat="1" ht="15.75" x14ac:dyDescent="0.25">
      <c r="B88"/>
      <c r="C88"/>
      <c r="D88"/>
      <c r="E88"/>
      <c r="F88"/>
      <c r="G88"/>
      <c r="H88"/>
      <c r="I88"/>
      <c r="J88"/>
      <c r="K88"/>
      <c r="L88" s="367"/>
      <c r="M88" s="367"/>
      <c r="N88" s="367"/>
      <c r="O88" s="367"/>
      <c r="P88" s="367"/>
      <c r="Q88" s="367"/>
      <c r="R88" s="367"/>
      <c r="S88" s="367"/>
      <c r="T88" s="367"/>
      <c r="U88" s="367"/>
      <c r="V88" s="367"/>
      <c r="W88" s="367"/>
      <c r="X88" s="367"/>
      <c r="Y88" s="367"/>
      <c r="Z88" s="367"/>
      <c r="AA88" s="367"/>
      <c r="AB88" s="75"/>
      <c r="AC88" s="367"/>
      <c r="AD88" s="367"/>
      <c r="AE88" s="367"/>
      <c r="AF88" s="367"/>
      <c r="AG88" s="367"/>
      <c r="AH88" s="367"/>
      <c r="AI88" s="367"/>
      <c r="AJ88" s="367"/>
      <c r="AK88" s="367"/>
      <c r="AL88" s="367"/>
      <c r="AM88" s="367"/>
      <c r="AN88" s="367"/>
      <c r="AO88" s="367"/>
      <c r="AP88" s="367"/>
      <c r="AQ88" s="367"/>
      <c r="AR88" s="367"/>
      <c r="AS88" s="367"/>
      <c r="AT88" s="367"/>
      <c r="AU88" s="367"/>
      <c r="AV88" s="367"/>
      <c r="AW88" s="367"/>
      <c r="AX88" s="367"/>
      <c r="AY88" s="367"/>
      <c r="AZ88" s="367"/>
    </row>
    <row r="89" spans="2:52" s="77" customFormat="1" ht="15.75" x14ac:dyDescent="0.25">
      <c r="B89"/>
      <c r="C89"/>
      <c r="D89"/>
      <c r="E89"/>
      <c r="F89"/>
      <c r="G89"/>
      <c r="H89"/>
      <c r="I89"/>
      <c r="J89"/>
      <c r="K89"/>
      <c r="L89" s="367"/>
      <c r="M89" s="367"/>
      <c r="N89" s="367"/>
      <c r="O89" s="367"/>
      <c r="P89" s="367"/>
      <c r="Q89" s="367"/>
      <c r="R89" s="367"/>
      <c r="S89" s="367"/>
      <c r="T89" s="367"/>
      <c r="U89" s="367"/>
      <c r="V89" s="367"/>
      <c r="W89" s="367"/>
      <c r="X89" s="367"/>
      <c r="Y89" s="367"/>
      <c r="Z89" s="367"/>
      <c r="AA89" s="367"/>
      <c r="AC89" s="367"/>
      <c r="AD89" s="367"/>
      <c r="AE89" s="367"/>
      <c r="AF89" s="367"/>
      <c r="AG89" s="367"/>
      <c r="AH89" s="367"/>
      <c r="AI89" s="367"/>
      <c r="AJ89" s="367"/>
      <c r="AK89" s="367"/>
      <c r="AL89" s="367"/>
      <c r="AM89" s="367"/>
      <c r="AN89" s="367"/>
      <c r="AO89" s="367"/>
      <c r="AP89" s="367"/>
      <c r="AQ89" s="367"/>
      <c r="AR89" s="367"/>
      <c r="AS89" s="367"/>
      <c r="AT89" s="367"/>
      <c r="AU89" s="367"/>
      <c r="AV89" s="367"/>
      <c r="AW89" s="367"/>
      <c r="AX89" s="367"/>
      <c r="AY89" s="367"/>
      <c r="AZ89" s="367"/>
    </row>
    <row r="90" spans="2:52" ht="15.75" x14ac:dyDescent="0.25">
      <c r="B90"/>
      <c r="C90"/>
      <c r="D90"/>
      <c r="E90"/>
      <c r="F90"/>
      <c r="G90"/>
      <c r="H90"/>
      <c r="I90"/>
      <c r="J90"/>
      <c r="K90"/>
      <c r="L90" s="367"/>
      <c r="M90" s="367"/>
      <c r="N90" s="367"/>
      <c r="O90" s="367"/>
      <c r="P90" s="367"/>
      <c r="Q90" s="367"/>
      <c r="R90" s="367"/>
      <c r="S90" s="367"/>
      <c r="T90" s="367"/>
      <c r="U90" s="367"/>
      <c r="V90" s="367"/>
      <c r="W90" s="367"/>
      <c r="X90" s="367"/>
      <c r="Y90" s="367"/>
      <c r="Z90" s="367"/>
      <c r="AA90" s="367"/>
      <c r="AC90" s="367"/>
      <c r="AD90" s="367"/>
      <c r="AE90" s="367"/>
      <c r="AF90" s="367"/>
      <c r="AG90" s="367"/>
      <c r="AH90" s="367"/>
      <c r="AI90" s="367"/>
      <c r="AJ90" s="367"/>
      <c r="AK90" s="367"/>
      <c r="AL90" s="367"/>
      <c r="AM90" s="367"/>
      <c r="AN90" s="367"/>
      <c r="AO90" s="367"/>
      <c r="AP90" s="367"/>
      <c r="AQ90" s="367"/>
      <c r="AR90" s="367"/>
      <c r="AS90" s="367"/>
      <c r="AT90" s="367"/>
      <c r="AU90" s="367"/>
      <c r="AV90" s="367"/>
      <c r="AW90" s="367"/>
      <c r="AX90" s="367"/>
      <c r="AY90" s="367"/>
      <c r="AZ90" s="367"/>
    </row>
    <row r="91" spans="2:52" s="77" customFormat="1" ht="15.75" x14ac:dyDescent="0.25">
      <c r="B91"/>
      <c r="C91"/>
      <c r="D91"/>
      <c r="E91"/>
      <c r="F91"/>
      <c r="G91"/>
      <c r="H91"/>
      <c r="I91"/>
      <c r="J91"/>
      <c r="K91"/>
      <c r="L91" s="367"/>
      <c r="M91" s="367"/>
      <c r="N91" s="367"/>
      <c r="O91" s="367"/>
      <c r="P91" s="367"/>
      <c r="Q91" s="367"/>
      <c r="R91" s="367"/>
      <c r="S91" s="367"/>
      <c r="T91" s="367"/>
      <c r="U91" s="367"/>
      <c r="V91" s="367"/>
      <c r="W91" s="367"/>
      <c r="X91" s="367"/>
      <c r="Y91" s="367"/>
      <c r="Z91" s="367"/>
      <c r="AA91" s="367"/>
      <c r="AC91" s="367"/>
      <c r="AD91" s="367"/>
      <c r="AE91" s="367"/>
      <c r="AF91" s="367"/>
      <c r="AG91" s="367"/>
      <c r="AH91" s="367"/>
      <c r="AI91" s="367"/>
      <c r="AJ91" s="367"/>
      <c r="AK91" s="367"/>
      <c r="AL91" s="367"/>
      <c r="AM91" s="367"/>
      <c r="AN91" s="367"/>
      <c r="AO91" s="367"/>
      <c r="AP91" s="367"/>
      <c r="AQ91" s="367"/>
      <c r="AR91" s="367"/>
      <c r="AS91" s="367"/>
      <c r="AT91" s="367"/>
      <c r="AU91" s="367"/>
      <c r="AV91" s="367"/>
      <c r="AW91" s="367"/>
      <c r="AX91" s="367"/>
      <c r="AY91" s="367"/>
      <c r="AZ91" s="367"/>
    </row>
    <row r="92" spans="2:52" s="77" customFormat="1" ht="15.75" x14ac:dyDescent="0.25">
      <c r="F92" s="78"/>
      <c r="G92" s="78"/>
      <c r="H92" s="78"/>
      <c r="I92" s="78"/>
      <c r="J92" s="78"/>
      <c r="K92" s="78"/>
      <c r="L92" s="78"/>
      <c r="M92" s="78"/>
      <c r="N92" s="78"/>
      <c r="O92" s="78"/>
      <c r="P92" s="78"/>
      <c r="Q92" s="78"/>
      <c r="R92" s="78"/>
      <c r="S92" s="78"/>
      <c r="T92" s="78"/>
      <c r="U92" s="78"/>
      <c r="V92" s="78"/>
      <c r="W92" s="78"/>
      <c r="X92" s="78"/>
      <c r="Y92" s="78"/>
      <c r="Z92" s="78"/>
      <c r="AC92" s="367"/>
      <c r="AD92" s="367"/>
      <c r="AE92" s="367"/>
      <c r="AF92" s="367"/>
      <c r="AG92" s="367"/>
      <c r="AH92" s="367"/>
      <c r="AI92" s="367"/>
      <c r="AJ92" s="367"/>
      <c r="AK92" s="367"/>
      <c r="AL92" s="367"/>
      <c r="AM92" s="367"/>
      <c r="AN92" s="367"/>
      <c r="AO92" s="367"/>
      <c r="AP92" s="367"/>
      <c r="AQ92" s="367"/>
      <c r="AR92" s="367"/>
      <c r="AS92" s="367"/>
      <c r="AT92" s="367"/>
      <c r="AU92" s="367"/>
      <c r="AV92" s="367"/>
      <c r="AW92" s="367"/>
      <c r="AX92" s="367"/>
      <c r="AY92" s="367"/>
      <c r="AZ92" s="367"/>
    </row>
    <row r="93" spans="2:52" ht="15.75" x14ac:dyDescent="0.25">
      <c r="D93" s="41"/>
      <c r="E93" s="13"/>
      <c r="AC93" s="367"/>
      <c r="AD93" s="367"/>
      <c r="AE93" s="367"/>
      <c r="AF93" s="367"/>
      <c r="AG93" s="367"/>
      <c r="AH93" s="367"/>
      <c r="AI93" s="367"/>
      <c r="AJ93" s="367"/>
      <c r="AK93" s="367"/>
      <c r="AL93" s="367"/>
      <c r="AM93" s="367"/>
      <c r="AN93" s="367"/>
      <c r="AO93" s="367"/>
      <c r="AP93" s="367"/>
      <c r="AQ93" s="367"/>
      <c r="AR93" s="367"/>
      <c r="AS93" s="367"/>
      <c r="AT93" s="367"/>
      <c r="AU93" s="367"/>
      <c r="AV93" s="367"/>
      <c r="AW93" s="367"/>
      <c r="AX93" s="367"/>
      <c r="AY93" s="367"/>
      <c r="AZ93" s="367"/>
    </row>
    <row r="94" spans="2:52" ht="15.75" x14ac:dyDescent="0.25">
      <c r="B94" s="153"/>
      <c r="C94" s="153"/>
      <c r="D94" s="41"/>
      <c r="E94" s="13"/>
      <c r="AC94" s="367"/>
      <c r="AD94" s="367"/>
      <c r="AE94" s="367"/>
      <c r="AF94" s="367"/>
      <c r="AG94" s="367"/>
      <c r="AH94" s="367"/>
      <c r="AI94" s="367"/>
      <c r="AJ94" s="367"/>
      <c r="AK94" s="367"/>
      <c r="AL94" s="367"/>
      <c r="AM94" s="367"/>
      <c r="AN94" s="367"/>
      <c r="AO94" s="367"/>
      <c r="AP94" s="367"/>
      <c r="AQ94" s="367"/>
      <c r="AR94" s="367"/>
      <c r="AS94" s="367"/>
      <c r="AT94" s="367"/>
      <c r="AU94" s="367"/>
      <c r="AV94" s="367"/>
      <c r="AW94" s="367"/>
      <c r="AX94" s="367"/>
      <c r="AY94" s="367"/>
      <c r="AZ94" s="367"/>
    </row>
    <row r="95" spans="2:52" ht="15.75" x14ac:dyDescent="0.25">
      <c r="E95" s="13"/>
      <c r="AC95" s="367"/>
      <c r="AD95" s="367"/>
      <c r="AE95" s="367"/>
      <c r="AF95" s="367"/>
      <c r="AG95" s="367"/>
      <c r="AH95" s="367"/>
      <c r="AI95" s="367"/>
      <c r="AJ95" s="367"/>
      <c r="AK95" s="367"/>
      <c r="AL95" s="367"/>
      <c r="AM95" s="367"/>
      <c r="AN95" s="367"/>
      <c r="AO95" s="367"/>
      <c r="AP95" s="367"/>
      <c r="AQ95" s="367"/>
      <c r="AR95" s="367"/>
      <c r="AS95" s="367"/>
      <c r="AT95" s="367"/>
      <c r="AU95" s="367"/>
      <c r="AV95" s="367"/>
      <c r="AW95" s="367"/>
      <c r="AX95" s="367"/>
      <c r="AY95" s="367"/>
      <c r="AZ95" s="367"/>
    </row>
    <row r="96" spans="2:52" ht="15.75" x14ac:dyDescent="0.25">
      <c r="D96" s="41"/>
      <c r="E96" s="13"/>
      <c r="AC96" s="367"/>
      <c r="AD96" s="367"/>
      <c r="AE96" s="367"/>
      <c r="AF96" s="367"/>
      <c r="AG96" s="367"/>
      <c r="AH96" s="367"/>
      <c r="AI96" s="367"/>
      <c r="AJ96" s="367"/>
      <c r="AK96" s="367"/>
      <c r="AL96" s="367"/>
      <c r="AM96" s="367"/>
      <c r="AN96" s="367"/>
      <c r="AO96" s="367"/>
      <c r="AP96" s="367"/>
      <c r="AQ96" s="367"/>
      <c r="AR96" s="367"/>
      <c r="AS96" s="367"/>
      <c r="AT96" s="367"/>
      <c r="AU96" s="367"/>
      <c r="AV96" s="367"/>
      <c r="AW96" s="367"/>
      <c r="AX96" s="367"/>
      <c r="AY96" s="367"/>
      <c r="AZ96" s="367"/>
    </row>
    <row r="97" spans="4:52" ht="15.75" x14ac:dyDescent="0.25">
      <c r="E97" s="13"/>
      <c r="AC97" s="367"/>
      <c r="AD97" s="367"/>
      <c r="AE97" s="367"/>
      <c r="AF97" s="367"/>
      <c r="AG97" s="367"/>
      <c r="AH97" s="367"/>
      <c r="AI97" s="367"/>
      <c r="AJ97" s="367"/>
      <c r="AK97" s="367"/>
      <c r="AL97" s="367"/>
      <c r="AM97" s="367"/>
      <c r="AN97" s="367"/>
      <c r="AO97" s="367"/>
      <c r="AP97" s="367"/>
      <c r="AQ97" s="367"/>
      <c r="AR97" s="367"/>
      <c r="AS97" s="367"/>
      <c r="AT97" s="367"/>
      <c r="AU97" s="367"/>
      <c r="AV97" s="367"/>
      <c r="AW97" s="367"/>
      <c r="AX97" s="367"/>
      <c r="AY97" s="367"/>
      <c r="AZ97" s="367"/>
    </row>
    <row r="98" spans="4:52" ht="15.75" x14ac:dyDescent="0.25">
      <c r="D98" s="41"/>
      <c r="E98" s="13"/>
      <c r="AC98" s="367"/>
      <c r="AD98" s="367"/>
      <c r="AE98" s="367"/>
      <c r="AF98" s="367"/>
      <c r="AG98" s="367"/>
      <c r="AH98" s="367"/>
      <c r="AI98" s="367"/>
      <c r="AJ98" s="367"/>
      <c r="AK98" s="367"/>
      <c r="AL98" s="367"/>
      <c r="AM98" s="367"/>
      <c r="AN98" s="367"/>
      <c r="AO98" s="367"/>
      <c r="AP98" s="367"/>
      <c r="AQ98" s="367"/>
      <c r="AR98" s="367"/>
      <c r="AS98" s="367"/>
      <c r="AT98" s="367"/>
      <c r="AU98" s="367"/>
      <c r="AV98" s="367"/>
      <c r="AW98" s="367"/>
      <c r="AX98" s="367"/>
      <c r="AY98" s="367"/>
      <c r="AZ98" s="367"/>
    </row>
    <row r="99" spans="4:52" ht="15.75" x14ac:dyDescent="0.25">
      <c r="E99" s="13"/>
      <c r="AC99" s="367"/>
      <c r="AD99" s="367"/>
      <c r="AE99" s="367"/>
      <c r="AF99" s="367"/>
      <c r="AG99" s="367"/>
      <c r="AH99" s="367"/>
      <c r="AI99" s="367"/>
      <c r="AJ99" s="367"/>
      <c r="AK99" s="367"/>
      <c r="AL99" s="367"/>
      <c r="AM99" s="367"/>
      <c r="AN99" s="367"/>
      <c r="AO99" s="367"/>
      <c r="AP99" s="367"/>
      <c r="AQ99" s="367"/>
      <c r="AR99" s="367"/>
      <c r="AS99" s="367"/>
      <c r="AT99" s="367"/>
      <c r="AU99" s="367"/>
      <c r="AV99" s="367"/>
      <c r="AW99" s="367"/>
      <c r="AX99" s="367"/>
      <c r="AY99" s="367"/>
      <c r="AZ99" s="367"/>
    </row>
    <row r="100" spans="4:52" ht="15.75" x14ac:dyDescent="0.25">
      <c r="D100" s="41"/>
      <c r="E100" s="13"/>
      <c r="AC100" s="367"/>
      <c r="AD100" s="367"/>
      <c r="AE100" s="367"/>
      <c r="AF100" s="367"/>
      <c r="AG100" s="367"/>
      <c r="AH100" s="367"/>
      <c r="AI100" s="367"/>
      <c r="AJ100" s="367"/>
      <c r="AK100" s="367"/>
      <c r="AL100" s="367"/>
      <c r="AM100" s="367"/>
      <c r="AN100" s="367"/>
      <c r="AO100" s="367"/>
      <c r="AP100" s="367"/>
      <c r="AQ100" s="367"/>
      <c r="AR100" s="367"/>
      <c r="AS100" s="367"/>
      <c r="AT100" s="367"/>
      <c r="AU100" s="367"/>
      <c r="AV100" s="367"/>
      <c r="AW100" s="367"/>
      <c r="AX100" s="367"/>
      <c r="AY100" s="367"/>
      <c r="AZ100" s="367"/>
    </row>
    <row r="101" spans="4:52" ht="15.75" x14ac:dyDescent="0.25">
      <c r="E101" s="13"/>
      <c r="AC101" s="367"/>
      <c r="AD101" s="367"/>
      <c r="AE101" s="367"/>
      <c r="AF101" s="367"/>
      <c r="AG101" s="367"/>
      <c r="AH101" s="367"/>
      <c r="AI101" s="367"/>
      <c r="AJ101" s="367"/>
      <c r="AK101" s="367"/>
      <c r="AL101" s="367"/>
      <c r="AM101" s="367"/>
      <c r="AN101" s="367"/>
      <c r="AO101" s="367"/>
      <c r="AP101" s="367"/>
      <c r="AQ101" s="367"/>
      <c r="AR101" s="367"/>
      <c r="AS101" s="367"/>
      <c r="AT101" s="367"/>
      <c r="AU101" s="367"/>
      <c r="AV101" s="367"/>
      <c r="AW101" s="367"/>
      <c r="AX101" s="367"/>
      <c r="AY101" s="367"/>
      <c r="AZ101" s="367"/>
    </row>
    <row r="102" spans="4:52" ht="15.75" x14ac:dyDescent="0.25">
      <c r="E102" s="13"/>
      <c r="AC102" s="367"/>
      <c r="AD102" s="367"/>
      <c r="AE102" s="367"/>
      <c r="AF102" s="367"/>
      <c r="AG102" s="367"/>
      <c r="AH102" s="367"/>
      <c r="AI102" s="367"/>
      <c r="AJ102" s="367"/>
      <c r="AK102" s="367"/>
      <c r="AL102" s="367"/>
      <c r="AM102" s="367"/>
      <c r="AN102" s="367"/>
      <c r="AO102" s="367"/>
      <c r="AP102" s="367"/>
      <c r="AQ102" s="367"/>
      <c r="AR102" s="367"/>
      <c r="AS102" s="367"/>
      <c r="AT102" s="367"/>
      <c r="AU102" s="367"/>
      <c r="AV102" s="367"/>
      <c r="AW102" s="367"/>
      <c r="AX102" s="367"/>
      <c r="AY102" s="367"/>
      <c r="AZ102" s="367"/>
    </row>
    <row r="103" spans="4:52" ht="15.75" x14ac:dyDescent="0.25">
      <c r="E103" s="13"/>
      <c r="AC103" s="367"/>
      <c r="AD103" s="367"/>
      <c r="AE103" s="367"/>
      <c r="AF103" s="367"/>
      <c r="AG103" s="367"/>
      <c r="AH103" s="367"/>
      <c r="AI103" s="367"/>
      <c r="AJ103" s="367"/>
      <c r="AK103" s="367"/>
      <c r="AL103" s="367"/>
      <c r="AM103" s="367"/>
      <c r="AN103" s="367"/>
      <c r="AO103" s="367"/>
      <c r="AP103" s="367"/>
      <c r="AQ103" s="367"/>
      <c r="AR103" s="367"/>
      <c r="AS103" s="367"/>
      <c r="AT103" s="367"/>
      <c r="AU103" s="367"/>
      <c r="AV103" s="367"/>
      <c r="AW103" s="367"/>
      <c r="AX103" s="367"/>
      <c r="AY103" s="367"/>
      <c r="AZ103" s="367"/>
    </row>
    <row r="104" spans="4:52" ht="15.75" x14ac:dyDescent="0.25">
      <c r="E104" s="13"/>
      <c r="AC104" s="367"/>
      <c r="AD104" s="367"/>
      <c r="AE104" s="367"/>
      <c r="AF104" s="367"/>
      <c r="AG104" s="367"/>
      <c r="AH104" s="367"/>
      <c r="AI104" s="367"/>
      <c r="AJ104" s="367"/>
      <c r="AK104" s="367"/>
      <c r="AL104" s="367"/>
      <c r="AM104" s="367"/>
      <c r="AN104" s="367"/>
      <c r="AO104" s="367"/>
      <c r="AP104" s="367"/>
      <c r="AQ104" s="367"/>
      <c r="AR104" s="367"/>
      <c r="AS104" s="367"/>
      <c r="AT104" s="367"/>
      <c r="AU104" s="367"/>
      <c r="AV104" s="367"/>
      <c r="AW104" s="367"/>
      <c r="AX104" s="367"/>
      <c r="AY104" s="367"/>
      <c r="AZ104" s="367"/>
    </row>
    <row r="105" spans="4:52" ht="15.75" x14ac:dyDescent="0.25">
      <c r="E105" s="13"/>
      <c r="AC105" s="367"/>
      <c r="AD105" s="367"/>
      <c r="AE105" s="367"/>
      <c r="AF105" s="367"/>
      <c r="AG105" s="367"/>
      <c r="AH105" s="367"/>
      <c r="AI105" s="367"/>
      <c r="AJ105" s="367"/>
      <c r="AK105" s="367"/>
      <c r="AL105" s="367"/>
      <c r="AM105" s="367"/>
      <c r="AN105" s="367"/>
      <c r="AO105" s="367"/>
      <c r="AP105" s="367"/>
      <c r="AQ105" s="367"/>
      <c r="AR105" s="367"/>
      <c r="AS105" s="367"/>
      <c r="AT105" s="367"/>
      <c r="AU105" s="367"/>
      <c r="AV105" s="367"/>
      <c r="AW105" s="367"/>
      <c r="AX105" s="367"/>
      <c r="AY105" s="367"/>
      <c r="AZ105" s="367"/>
    </row>
    <row r="106" spans="4:52" ht="15.75" x14ac:dyDescent="0.25">
      <c r="E106" s="13"/>
      <c r="AC106" s="367"/>
      <c r="AD106" s="367"/>
      <c r="AE106" s="367"/>
      <c r="AF106" s="367"/>
      <c r="AG106" s="367"/>
      <c r="AH106" s="367"/>
      <c r="AI106" s="367"/>
      <c r="AJ106" s="367"/>
      <c r="AK106" s="367"/>
      <c r="AL106" s="367"/>
      <c r="AM106" s="367"/>
      <c r="AN106" s="367"/>
      <c r="AO106" s="367"/>
      <c r="AP106" s="367"/>
      <c r="AQ106" s="367"/>
      <c r="AR106" s="367"/>
      <c r="AS106" s="367"/>
      <c r="AT106" s="367"/>
      <c r="AU106" s="367"/>
      <c r="AV106" s="367"/>
      <c r="AW106" s="367"/>
      <c r="AX106" s="367"/>
      <c r="AY106" s="367"/>
      <c r="AZ106" s="367"/>
    </row>
    <row r="107" spans="4:52" ht="15.75" x14ac:dyDescent="0.25">
      <c r="E107" s="13"/>
      <c r="AC107" s="367"/>
      <c r="AD107" s="367"/>
      <c r="AE107" s="367"/>
      <c r="AF107" s="367"/>
      <c r="AG107" s="367"/>
      <c r="AH107" s="367"/>
      <c r="AI107" s="367"/>
      <c r="AJ107" s="367"/>
      <c r="AK107" s="367"/>
      <c r="AL107" s="367"/>
      <c r="AM107" s="367"/>
      <c r="AN107" s="367"/>
      <c r="AO107" s="367"/>
      <c r="AP107" s="367"/>
      <c r="AQ107" s="367"/>
      <c r="AR107" s="367"/>
      <c r="AS107" s="367"/>
      <c r="AT107" s="367"/>
      <c r="AU107" s="367"/>
      <c r="AV107" s="367"/>
      <c r="AW107" s="367"/>
      <c r="AX107" s="367"/>
      <c r="AY107" s="367"/>
      <c r="AZ107" s="367"/>
    </row>
    <row r="108" spans="4:52" ht="15.75" x14ac:dyDescent="0.25">
      <c r="E108" s="13"/>
      <c r="AC108" s="367"/>
      <c r="AD108" s="367"/>
      <c r="AE108" s="367"/>
      <c r="AF108" s="367"/>
      <c r="AG108" s="367"/>
      <c r="AH108" s="367"/>
      <c r="AI108" s="367"/>
      <c r="AJ108" s="367"/>
      <c r="AK108" s="367"/>
      <c r="AL108" s="367"/>
      <c r="AM108" s="367"/>
      <c r="AN108" s="367"/>
      <c r="AO108" s="367"/>
      <c r="AP108" s="367"/>
      <c r="AQ108" s="367"/>
      <c r="AR108" s="367"/>
      <c r="AS108" s="367"/>
      <c r="AT108" s="367"/>
      <c r="AU108" s="367"/>
      <c r="AV108" s="367"/>
      <c r="AW108" s="367"/>
      <c r="AX108" s="367"/>
      <c r="AY108" s="367"/>
      <c r="AZ108" s="367"/>
    </row>
    <row r="109" spans="4:52" ht="15.75" x14ac:dyDescent="0.25">
      <c r="E109" s="13"/>
      <c r="AC109" s="367"/>
      <c r="AD109" s="367"/>
      <c r="AE109" s="367"/>
      <c r="AF109" s="367"/>
      <c r="AG109" s="367"/>
      <c r="AH109" s="367"/>
      <c r="AI109" s="367"/>
      <c r="AJ109" s="367"/>
      <c r="AK109" s="367"/>
      <c r="AL109" s="367"/>
      <c r="AM109" s="367"/>
      <c r="AN109" s="367"/>
      <c r="AO109" s="367"/>
      <c r="AP109" s="367"/>
      <c r="AQ109" s="367"/>
      <c r="AR109" s="367"/>
      <c r="AS109" s="367"/>
      <c r="AT109" s="367"/>
      <c r="AU109" s="367"/>
      <c r="AV109" s="367"/>
      <c r="AW109" s="367"/>
      <c r="AX109" s="367"/>
      <c r="AY109" s="367"/>
      <c r="AZ109" s="367"/>
    </row>
    <row r="110" spans="4:52" ht="15.75" x14ac:dyDescent="0.25">
      <c r="E110" s="13"/>
      <c r="AC110" s="367"/>
      <c r="AD110" s="367"/>
      <c r="AE110" s="367"/>
      <c r="AF110" s="367"/>
      <c r="AG110" s="367"/>
      <c r="AH110" s="367"/>
      <c r="AI110" s="367"/>
      <c r="AJ110" s="367"/>
      <c r="AK110" s="367"/>
      <c r="AL110" s="367"/>
      <c r="AM110" s="367"/>
      <c r="AN110" s="367"/>
      <c r="AO110" s="367"/>
      <c r="AP110" s="367"/>
      <c r="AQ110" s="367"/>
      <c r="AR110" s="367"/>
      <c r="AS110" s="367"/>
      <c r="AT110" s="367"/>
      <c r="AU110" s="367"/>
      <c r="AV110" s="367"/>
      <c r="AW110" s="367"/>
      <c r="AX110" s="367"/>
      <c r="AY110" s="367"/>
      <c r="AZ110" s="367"/>
    </row>
    <row r="111" spans="4:52" ht="15.75" x14ac:dyDescent="0.25">
      <c r="D111" s="142"/>
      <c r="E111" s="13"/>
      <c r="AC111" s="367"/>
      <c r="AD111" s="367"/>
      <c r="AE111" s="367"/>
      <c r="AF111" s="367"/>
      <c r="AG111" s="367"/>
      <c r="AH111" s="367"/>
      <c r="AI111" s="367"/>
      <c r="AJ111" s="367"/>
      <c r="AK111" s="367"/>
      <c r="AL111" s="367"/>
      <c r="AM111" s="367"/>
      <c r="AN111" s="367"/>
      <c r="AO111" s="367"/>
      <c r="AP111" s="367"/>
      <c r="AQ111" s="367"/>
      <c r="AR111" s="367"/>
      <c r="AS111" s="367"/>
      <c r="AT111" s="367"/>
      <c r="AU111" s="367"/>
      <c r="AV111" s="367"/>
      <c r="AW111" s="367"/>
      <c r="AX111" s="367"/>
      <c r="AY111" s="367"/>
      <c r="AZ111" s="367"/>
    </row>
    <row r="112" spans="4:52" ht="15.75" x14ac:dyDescent="0.25">
      <c r="D112" s="142"/>
      <c r="E112" s="13"/>
      <c r="AC112" s="367"/>
      <c r="AD112" s="367"/>
      <c r="AE112" s="367"/>
      <c r="AF112" s="367"/>
      <c r="AG112" s="367"/>
      <c r="AH112" s="367"/>
      <c r="AI112" s="367"/>
      <c r="AJ112" s="367"/>
      <c r="AK112" s="367"/>
      <c r="AL112" s="367"/>
      <c r="AM112" s="367"/>
      <c r="AN112" s="367"/>
      <c r="AO112" s="367"/>
      <c r="AP112" s="367"/>
      <c r="AQ112" s="367"/>
      <c r="AR112" s="367"/>
      <c r="AS112" s="367"/>
      <c r="AT112" s="367"/>
      <c r="AU112" s="367"/>
      <c r="AV112" s="367"/>
      <c r="AW112" s="367"/>
      <c r="AX112" s="367"/>
      <c r="AY112" s="367"/>
      <c r="AZ112" s="367"/>
    </row>
    <row r="113" spans="4:52" ht="15.75" x14ac:dyDescent="0.25">
      <c r="D113" s="142"/>
      <c r="E113" s="13"/>
      <c r="AC113" s="367"/>
      <c r="AD113" s="367"/>
      <c r="AE113" s="367"/>
      <c r="AF113" s="367"/>
      <c r="AG113" s="367"/>
      <c r="AH113" s="367"/>
      <c r="AI113" s="367"/>
      <c r="AJ113" s="367"/>
      <c r="AK113" s="367"/>
      <c r="AL113" s="367"/>
      <c r="AM113" s="367"/>
      <c r="AN113" s="367"/>
      <c r="AO113" s="367"/>
      <c r="AP113" s="367"/>
      <c r="AQ113" s="367"/>
      <c r="AR113" s="367"/>
      <c r="AS113" s="367"/>
      <c r="AT113" s="367"/>
      <c r="AU113" s="367"/>
      <c r="AV113" s="367"/>
      <c r="AW113" s="367"/>
      <c r="AX113" s="367"/>
      <c r="AY113" s="367"/>
      <c r="AZ113" s="367"/>
    </row>
    <row r="114" spans="4:52" ht="15.75" x14ac:dyDescent="0.25">
      <c r="D114" s="142"/>
      <c r="AC114" s="367"/>
      <c r="AD114" s="367"/>
      <c r="AE114" s="367"/>
      <c r="AF114" s="367"/>
      <c r="AG114" s="367"/>
      <c r="AH114" s="367"/>
      <c r="AI114" s="367"/>
      <c r="AJ114" s="367"/>
      <c r="AK114" s="367"/>
      <c r="AL114" s="367"/>
      <c r="AM114" s="367"/>
      <c r="AN114" s="367"/>
      <c r="AO114" s="367"/>
      <c r="AP114" s="367"/>
      <c r="AQ114" s="367"/>
      <c r="AR114" s="367"/>
      <c r="AS114" s="367"/>
      <c r="AT114" s="367"/>
      <c r="AU114" s="367"/>
      <c r="AV114" s="367"/>
      <c r="AW114" s="367"/>
      <c r="AX114" s="367"/>
      <c r="AY114" s="367"/>
      <c r="AZ114" s="367"/>
    </row>
    <row r="115" spans="4:52" ht="15.75" x14ac:dyDescent="0.25">
      <c r="D115" s="142"/>
      <c r="AC115" s="367"/>
      <c r="AD115" s="367"/>
      <c r="AE115" s="367"/>
      <c r="AF115" s="367"/>
      <c r="AG115" s="367"/>
      <c r="AH115" s="367"/>
      <c r="AI115" s="367"/>
      <c r="AJ115" s="367"/>
      <c r="AK115" s="367"/>
      <c r="AL115" s="367"/>
      <c r="AM115" s="367"/>
      <c r="AN115" s="367"/>
      <c r="AO115" s="367"/>
      <c r="AP115" s="367"/>
      <c r="AQ115" s="367"/>
      <c r="AR115" s="367"/>
      <c r="AS115" s="367"/>
      <c r="AT115" s="367"/>
      <c r="AU115" s="367"/>
      <c r="AV115" s="367"/>
      <c r="AW115" s="367"/>
      <c r="AX115" s="367"/>
      <c r="AY115" s="367"/>
      <c r="AZ115" s="367"/>
    </row>
    <row r="116" spans="4:52" ht="15.75" x14ac:dyDescent="0.25">
      <c r="D116" s="142"/>
      <c r="AC116" s="367"/>
      <c r="AD116" s="367"/>
      <c r="AE116" s="367"/>
      <c r="AF116" s="367"/>
      <c r="AG116" s="367"/>
      <c r="AH116" s="367"/>
      <c r="AI116" s="367"/>
      <c r="AJ116" s="367"/>
      <c r="AK116" s="367"/>
      <c r="AL116" s="367"/>
      <c r="AM116" s="367"/>
      <c r="AN116" s="367"/>
      <c r="AO116" s="367"/>
      <c r="AP116" s="367"/>
      <c r="AQ116" s="367"/>
      <c r="AR116" s="367"/>
      <c r="AS116" s="367"/>
      <c r="AT116" s="367"/>
      <c r="AU116" s="367"/>
      <c r="AV116" s="367"/>
      <c r="AW116" s="367"/>
      <c r="AX116" s="367"/>
      <c r="AY116" s="367"/>
      <c r="AZ116" s="367"/>
    </row>
    <row r="117" spans="4:52" ht="15.75" x14ac:dyDescent="0.25">
      <c r="D117" s="142"/>
      <c r="AC117" s="367"/>
      <c r="AD117" s="367"/>
      <c r="AE117" s="367"/>
      <c r="AF117" s="367"/>
      <c r="AG117" s="367"/>
      <c r="AH117" s="367"/>
      <c r="AI117" s="367"/>
      <c r="AJ117" s="367"/>
      <c r="AK117" s="367"/>
      <c r="AL117" s="367"/>
      <c r="AM117" s="367"/>
      <c r="AN117" s="367"/>
      <c r="AO117" s="367"/>
      <c r="AP117" s="367"/>
      <c r="AQ117" s="367"/>
      <c r="AR117" s="367"/>
      <c r="AS117" s="367"/>
      <c r="AT117" s="367"/>
      <c r="AU117" s="367"/>
      <c r="AV117" s="367"/>
      <c r="AW117" s="367"/>
      <c r="AX117" s="367"/>
      <c r="AY117" s="367"/>
      <c r="AZ117" s="367"/>
    </row>
    <row r="118" spans="4:52" ht="15.75" x14ac:dyDescent="0.25">
      <c r="D118" s="142"/>
      <c r="AC118" s="367"/>
      <c r="AD118" s="367"/>
      <c r="AE118" s="367"/>
      <c r="AF118" s="367"/>
      <c r="AG118" s="367"/>
      <c r="AH118" s="367"/>
      <c r="AI118" s="367"/>
      <c r="AJ118" s="367"/>
      <c r="AK118" s="367"/>
      <c r="AL118" s="367"/>
      <c r="AM118" s="367"/>
      <c r="AN118" s="367"/>
      <c r="AO118" s="367"/>
      <c r="AP118" s="367"/>
      <c r="AQ118" s="367"/>
      <c r="AR118" s="367"/>
      <c r="AS118" s="367"/>
      <c r="AT118" s="367"/>
      <c r="AU118" s="367"/>
      <c r="AV118" s="367"/>
      <c r="AW118" s="367"/>
      <c r="AX118" s="367"/>
      <c r="AY118" s="367"/>
      <c r="AZ118" s="367"/>
    </row>
    <row r="119" spans="4:52" ht="15.75" x14ac:dyDescent="0.25">
      <c r="D119" s="142"/>
      <c r="AC119" s="367"/>
      <c r="AD119" s="367"/>
      <c r="AE119" s="367"/>
      <c r="AF119" s="367"/>
      <c r="AG119" s="367"/>
      <c r="AH119" s="367"/>
      <c r="AI119" s="367"/>
      <c r="AJ119" s="367"/>
      <c r="AK119" s="367"/>
      <c r="AL119" s="367"/>
      <c r="AM119" s="367"/>
      <c r="AN119" s="367"/>
      <c r="AO119" s="367"/>
      <c r="AP119" s="367"/>
      <c r="AQ119" s="367"/>
      <c r="AR119" s="367"/>
      <c r="AS119" s="367"/>
      <c r="AT119" s="367"/>
      <c r="AU119" s="367"/>
      <c r="AV119" s="367"/>
      <c r="AW119" s="367"/>
      <c r="AX119" s="367"/>
      <c r="AY119" s="367"/>
      <c r="AZ119" s="367"/>
    </row>
    <row r="120" spans="4:52" ht="15.75" x14ac:dyDescent="0.25">
      <c r="D120" s="142"/>
      <c r="AC120" s="367"/>
      <c r="AD120" s="367"/>
      <c r="AE120" s="367"/>
      <c r="AF120" s="367"/>
      <c r="AG120" s="367"/>
      <c r="AH120" s="367"/>
      <c r="AI120" s="367"/>
      <c r="AJ120" s="367"/>
      <c r="AK120" s="367"/>
      <c r="AL120" s="367"/>
      <c r="AM120" s="367"/>
      <c r="AN120" s="367"/>
      <c r="AO120" s="367"/>
      <c r="AP120" s="367"/>
      <c r="AQ120" s="367"/>
      <c r="AR120" s="367"/>
      <c r="AS120" s="367"/>
      <c r="AT120" s="367"/>
      <c r="AU120" s="367"/>
      <c r="AV120" s="367"/>
      <c r="AW120" s="367"/>
      <c r="AX120" s="367"/>
      <c r="AY120" s="367"/>
      <c r="AZ120" s="367"/>
    </row>
    <row r="121" spans="4:52" ht="15.75" x14ac:dyDescent="0.25">
      <c r="D121" s="142"/>
      <c r="AC121" s="367"/>
      <c r="AD121" s="367"/>
      <c r="AE121" s="367"/>
      <c r="AF121" s="367"/>
      <c r="AG121" s="367"/>
      <c r="AH121" s="367"/>
      <c r="AI121" s="367"/>
      <c r="AJ121" s="367"/>
      <c r="AK121" s="367"/>
      <c r="AL121" s="367"/>
      <c r="AM121" s="367"/>
      <c r="AN121" s="367"/>
      <c r="AO121" s="367"/>
      <c r="AP121" s="367"/>
      <c r="AQ121" s="367"/>
      <c r="AR121" s="367"/>
      <c r="AS121" s="367"/>
      <c r="AT121" s="367"/>
      <c r="AU121" s="367"/>
      <c r="AV121" s="367"/>
      <c r="AW121" s="367"/>
      <c r="AX121" s="367"/>
      <c r="AY121" s="367"/>
      <c r="AZ121" s="367"/>
    </row>
    <row r="122" spans="4:52" ht="15.75" x14ac:dyDescent="0.25">
      <c r="D122" s="142"/>
      <c r="AC122" s="367"/>
      <c r="AD122" s="367"/>
      <c r="AE122" s="367"/>
      <c r="AF122" s="367"/>
      <c r="AG122" s="367"/>
      <c r="AH122" s="367"/>
      <c r="AI122" s="367"/>
      <c r="AJ122" s="367"/>
      <c r="AK122" s="367"/>
      <c r="AL122" s="367"/>
      <c r="AM122" s="367"/>
      <c r="AN122" s="367"/>
      <c r="AO122" s="367"/>
      <c r="AP122" s="367"/>
      <c r="AQ122" s="367"/>
      <c r="AR122" s="367"/>
      <c r="AS122" s="367"/>
      <c r="AT122" s="367"/>
      <c r="AU122" s="367"/>
      <c r="AV122" s="367"/>
      <c r="AW122" s="367"/>
      <c r="AX122" s="367"/>
      <c r="AY122" s="367"/>
      <c r="AZ122" s="367"/>
    </row>
    <row r="123" spans="4:52" ht="15.75" x14ac:dyDescent="0.25">
      <c r="D123" s="142"/>
      <c r="AC123" s="367"/>
      <c r="AD123" s="367"/>
      <c r="AE123" s="367"/>
      <c r="AF123" s="367"/>
      <c r="AG123" s="367"/>
      <c r="AH123" s="367"/>
      <c r="AI123" s="367"/>
      <c r="AJ123" s="367"/>
      <c r="AK123" s="367"/>
      <c r="AL123" s="367"/>
      <c r="AM123" s="367"/>
      <c r="AN123" s="367"/>
      <c r="AO123" s="367"/>
      <c r="AP123" s="367"/>
      <c r="AQ123" s="367"/>
      <c r="AR123" s="367"/>
      <c r="AS123" s="367"/>
      <c r="AT123" s="367"/>
      <c r="AU123" s="367"/>
      <c r="AV123" s="367"/>
      <c r="AW123" s="367"/>
      <c r="AX123" s="367"/>
      <c r="AY123" s="367"/>
      <c r="AZ123" s="367"/>
    </row>
    <row r="124" spans="4:52" ht="15.75" x14ac:dyDescent="0.25">
      <c r="D124" s="142"/>
      <c r="AC124" s="367"/>
      <c r="AD124" s="367"/>
      <c r="AE124" s="367"/>
      <c r="AF124" s="367"/>
      <c r="AG124" s="367"/>
      <c r="AH124" s="367"/>
      <c r="AI124" s="367"/>
      <c r="AJ124" s="367"/>
      <c r="AK124" s="367"/>
      <c r="AL124" s="367"/>
      <c r="AM124" s="367"/>
      <c r="AN124" s="367"/>
      <c r="AO124" s="367"/>
      <c r="AP124" s="367"/>
      <c r="AQ124" s="367"/>
      <c r="AR124" s="367"/>
      <c r="AS124" s="367"/>
      <c r="AT124" s="367"/>
      <c r="AU124" s="367"/>
      <c r="AV124" s="367"/>
      <c r="AW124" s="367"/>
      <c r="AX124" s="367"/>
      <c r="AY124" s="367"/>
      <c r="AZ124" s="367"/>
    </row>
    <row r="125" spans="4:52" ht="15.75" x14ac:dyDescent="0.25">
      <c r="D125" s="142"/>
      <c r="AC125" s="367"/>
      <c r="AD125" s="367"/>
      <c r="AE125" s="367"/>
      <c r="AF125" s="367"/>
      <c r="AG125" s="367"/>
      <c r="AH125" s="367"/>
      <c r="AI125" s="367"/>
      <c r="AJ125" s="367"/>
      <c r="AK125" s="367"/>
      <c r="AL125" s="367"/>
      <c r="AM125" s="367"/>
      <c r="AN125" s="367"/>
      <c r="AO125" s="367"/>
      <c r="AP125" s="367"/>
      <c r="AQ125" s="367"/>
      <c r="AR125" s="367"/>
      <c r="AS125" s="367"/>
      <c r="AT125" s="367"/>
      <c r="AU125" s="367"/>
      <c r="AV125" s="367"/>
      <c r="AW125" s="367"/>
      <c r="AX125" s="367"/>
      <c r="AY125" s="367"/>
      <c r="AZ125" s="367"/>
    </row>
    <row r="126" spans="4:52" ht="15.75" x14ac:dyDescent="0.25">
      <c r="D126" s="142"/>
      <c r="AC126" s="367"/>
      <c r="AD126" s="367"/>
      <c r="AE126" s="367"/>
      <c r="AF126" s="367"/>
      <c r="AG126" s="367"/>
      <c r="AH126" s="367"/>
      <c r="AI126" s="367"/>
      <c r="AJ126" s="367"/>
      <c r="AK126" s="367"/>
      <c r="AL126" s="367"/>
      <c r="AM126" s="367"/>
      <c r="AN126" s="367"/>
      <c r="AO126" s="367"/>
      <c r="AP126" s="367"/>
      <c r="AQ126" s="367"/>
      <c r="AR126" s="367"/>
      <c r="AS126" s="367"/>
      <c r="AT126" s="367"/>
      <c r="AU126" s="367"/>
      <c r="AV126" s="367"/>
      <c r="AW126" s="367"/>
      <c r="AX126" s="367"/>
      <c r="AY126" s="367"/>
      <c r="AZ126" s="367"/>
    </row>
    <row r="127" spans="4:52" ht="15.75" x14ac:dyDescent="0.25">
      <c r="AC127" s="367"/>
      <c r="AD127" s="367"/>
      <c r="AE127" s="367"/>
      <c r="AF127" s="367"/>
      <c r="AG127" s="367"/>
      <c r="AH127" s="367"/>
      <c r="AI127" s="367"/>
      <c r="AJ127" s="367"/>
      <c r="AK127" s="367"/>
      <c r="AL127" s="367"/>
      <c r="AM127" s="367"/>
      <c r="AN127" s="367"/>
      <c r="AO127" s="367"/>
      <c r="AP127" s="367"/>
      <c r="AQ127" s="367"/>
      <c r="AR127" s="367"/>
      <c r="AS127" s="367"/>
      <c r="AT127" s="367"/>
      <c r="AU127" s="367"/>
      <c r="AV127" s="367"/>
      <c r="AW127" s="367"/>
      <c r="AX127" s="367"/>
      <c r="AY127" s="367"/>
      <c r="AZ127" s="367"/>
    </row>
    <row r="128" spans="4:52" ht="15.75" x14ac:dyDescent="0.25">
      <c r="D128" s="41"/>
      <c r="AC128" s="367"/>
      <c r="AD128" s="367"/>
      <c r="AE128" s="367"/>
      <c r="AF128" s="367"/>
      <c r="AG128" s="367"/>
      <c r="AH128" s="367"/>
      <c r="AI128" s="367"/>
      <c r="AJ128" s="367"/>
      <c r="AK128" s="367"/>
      <c r="AL128" s="367"/>
      <c r="AM128" s="367"/>
      <c r="AN128" s="367"/>
      <c r="AO128" s="367"/>
      <c r="AP128" s="367"/>
      <c r="AQ128" s="367"/>
      <c r="AR128" s="367"/>
      <c r="AS128" s="367"/>
      <c r="AT128" s="367"/>
      <c r="AU128" s="367"/>
      <c r="AV128" s="367"/>
      <c r="AW128" s="367"/>
      <c r="AX128" s="367"/>
      <c r="AY128" s="367"/>
      <c r="AZ128" s="367"/>
    </row>
    <row r="129" spans="4:52" s="15" customFormat="1" ht="15.75" x14ac:dyDescent="0.25">
      <c r="D129" s="41"/>
      <c r="F129" s="13"/>
      <c r="G129" s="13"/>
      <c r="H129" s="13"/>
      <c r="I129" s="13"/>
      <c r="J129" s="13"/>
      <c r="K129" s="13"/>
      <c r="L129" s="13"/>
      <c r="M129" s="13"/>
      <c r="N129" s="13"/>
      <c r="O129" s="13"/>
      <c r="P129" s="13"/>
      <c r="Q129" s="13"/>
      <c r="R129" s="13"/>
      <c r="S129" s="13"/>
      <c r="T129" s="13"/>
      <c r="U129" s="13"/>
      <c r="V129" s="13"/>
      <c r="W129" s="13"/>
      <c r="X129" s="13"/>
      <c r="Y129" s="13"/>
      <c r="Z129" s="13"/>
      <c r="AA129" s="13"/>
      <c r="AB129" s="13"/>
      <c r="AC129" s="367"/>
      <c r="AD129" s="367"/>
      <c r="AE129" s="367"/>
      <c r="AF129" s="367"/>
      <c r="AG129" s="367"/>
      <c r="AH129" s="367"/>
      <c r="AI129" s="367"/>
      <c r="AJ129" s="367"/>
      <c r="AK129" s="367"/>
      <c r="AL129" s="367"/>
      <c r="AM129" s="367"/>
      <c r="AN129" s="367"/>
      <c r="AO129" s="367"/>
      <c r="AP129" s="367"/>
      <c r="AQ129" s="367"/>
      <c r="AR129" s="367"/>
      <c r="AS129" s="367"/>
      <c r="AT129" s="367"/>
      <c r="AU129" s="367"/>
      <c r="AV129" s="367"/>
      <c r="AW129" s="367"/>
      <c r="AX129" s="367"/>
      <c r="AY129" s="367"/>
      <c r="AZ129" s="367"/>
    </row>
    <row r="130" spans="4:52" s="15" customFormat="1" ht="15.75" x14ac:dyDescent="0.25">
      <c r="D130" s="41"/>
      <c r="F130" s="13"/>
      <c r="G130" s="13"/>
      <c r="H130" s="13"/>
      <c r="I130" s="13"/>
      <c r="J130" s="13"/>
      <c r="K130" s="13"/>
      <c r="L130" s="13"/>
      <c r="M130" s="13"/>
      <c r="N130" s="13"/>
      <c r="O130" s="13"/>
      <c r="P130" s="13"/>
      <c r="Q130" s="13"/>
      <c r="R130" s="13"/>
      <c r="S130" s="13"/>
      <c r="T130" s="13"/>
      <c r="U130" s="13"/>
      <c r="V130" s="13"/>
      <c r="W130" s="13"/>
      <c r="X130" s="13"/>
      <c r="Y130" s="13"/>
      <c r="Z130" s="13"/>
      <c r="AA130" s="13"/>
      <c r="AB130" s="13"/>
      <c r="AC130" s="367"/>
      <c r="AD130" s="367"/>
      <c r="AE130" s="367"/>
      <c r="AF130" s="367"/>
      <c r="AG130" s="367"/>
      <c r="AH130" s="367"/>
      <c r="AI130" s="367"/>
      <c r="AJ130" s="367"/>
      <c r="AK130" s="367"/>
      <c r="AL130" s="367"/>
      <c r="AM130" s="367"/>
      <c r="AN130" s="367"/>
      <c r="AO130" s="367"/>
      <c r="AP130" s="367"/>
      <c r="AQ130" s="367"/>
      <c r="AR130" s="367"/>
      <c r="AS130" s="367"/>
      <c r="AT130" s="367"/>
      <c r="AU130" s="367"/>
      <c r="AV130" s="367"/>
      <c r="AW130" s="367"/>
      <c r="AX130" s="367"/>
      <c r="AY130" s="367"/>
      <c r="AZ130" s="367"/>
    </row>
    <row r="131" spans="4:52" s="15" customFormat="1" ht="15.75" x14ac:dyDescent="0.25">
      <c r="D131" s="41"/>
      <c r="F131" s="13"/>
      <c r="G131" s="13"/>
      <c r="H131" s="13"/>
      <c r="I131" s="13"/>
      <c r="J131" s="13"/>
      <c r="K131" s="13"/>
      <c r="L131" s="13"/>
      <c r="M131" s="13"/>
      <c r="N131" s="13"/>
      <c r="O131" s="13"/>
      <c r="P131" s="13"/>
      <c r="Q131" s="13"/>
      <c r="R131" s="13"/>
      <c r="S131" s="13"/>
      <c r="T131" s="13"/>
      <c r="U131" s="13"/>
      <c r="V131" s="13"/>
      <c r="W131" s="13"/>
      <c r="X131" s="13"/>
      <c r="Y131" s="13"/>
      <c r="Z131" s="13"/>
      <c r="AA131" s="13"/>
      <c r="AB131" s="13"/>
      <c r="AC131" s="367"/>
      <c r="AD131" s="367"/>
      <c r="AE131" s="367"/>
      <c r="AF131" s="367"/>
      <c r="AG131" s="367"/>
      <c r="AH131" s="367"/>
      <c r="AI131" s="367"/>
      <c r="AJ131" s="367"/>
      <c r="AK131" s="367"/>
      <c r="AL131" s="367"/>
      <c r="AM131" s="367"/>
      <c r="AN131" s="367"/>
      <c r="AO131" s="367"/>
      <c r="AP131" s="367"/>
      <c r="AQ131" s="367"/>
      <c r="AR131" s="367"/>
      <c r="AS131" s="367"/>
      <c r="AT131" s="367"/>
      <c r="AU131" s="367"/>
      <c r="AV131" s="367"/>
      <c r="AW131" s="367"/>
      <c r="AX131" s="367"/>
      <c r="AY131" s="367"/>
      <c r="AZ131" s="367"/>
    </row>
    <row r="132" spans="4:52" s="15" customFormat="1" ht="15.75" x14ac:dyDescent="0.25">
      <c r="D132" s="41"/>
      <c r="F132" s="13"/>
      <c r="G132" s="13"/>
      <c r="H132" s="13"/>
      <c r="I132" s="13"/>
      <c r="J132" s="13"/>
      <c r="K132" s="13"/>
      <c r="L132" s="13"/>
      <c r="M132" s="13"/>
      <c r="N132" s="13"/>
      <c r="O132" s="13"/>
      <c r="P132" s="13"/>
      <c r="Q132" s="13"/>
      <c r="R132" s="13"/>
      <c r="S132" s="13"/>
      <c r="T132" s="13"/>
      <c r="U132" s="13"/>
      <c r="V132" s="13"/>
      <c r="W132" s="13"/>
      <c r="X132" s="13"/>
      <c r="Y132" s="13"/>
      <c r="Z132" s="13"/>
      <c r="AA132" s="13"/>
      <c r="AB132" s="13"/>
      <c r="AC132" s="367"/>
      <c r="AD132" s="367"/>
      <c r="AE132" s="367"/>
      <c r="AF132" s="367"/>
      <c r="AG132" s="367"/>
      <c r="AH132" s="367"/>
      <c r="AI132" s="367"/>
      <c r="AJ132" s="367"/>
      <c r="AK132" s="367"/>
      <c r="AL132" s="367"/>
      <c r="AM132" s="367"/>
      <c r="AN132" s="367"/>
      <c r="AO132" s="367"/>
      <c r="AP132" s="367"/>
      <c r="AQ132" s="367"/>
      <c r="AR132" s="367"/>
      <c r="AS132" s="367"/>
      <c r="AT132" s="367"/>
      <c r="AU132" s="367"/>
      <c r="AV132" s="367"/>
      <c r="AW132" s="367"/>
      <c r="AX132" s="367"/>
      <c r="AY132" s="367"/>
      <c r="AZ132" s="367"/>
    </row>
    <row r="133" spans="4:52" s="15" customFormat="1" ht="15.75" x14ac:dyDescent="0.25">
      <c r="D133" s="41"/>
      <c r="F133" s="13"/>
      <c r="G133" s="13"/>
      <c r="H133" s="13"/>
      <c r="I133" s="13"/>
      <c r="J133" s="13"/>
      <c r="K133" s="13"/>
      <c r="L133" s="13"/>
      <c r="M133" s="13"/>
      <c r="N133" s="13"/>
      <c r="O133" s="13"/>
      <c r="P133" s="13"/>
      <c r="Q133" s="13"/>
      <c r="R133" s="13"/>
      <c r="S133" s="13"/>
      <c r="T133" s="13"/>
      <c r="U133" s="13"/>
      <c r="V133" s="13"/>
      <c r="W133" s="13"/>
      <c r="X133" s="13"/>
      <c r="Y133" s="13"/>
      <c r="Z133" s="13"/>
      <c r="AA133" s="13"/>
      <c r="AB133" s="13"/>
      <c r="AC133" s="367"/>
      <c r="AD133" s="367"/>
      <c r="AE133" s="367"/>
      <c r="AF133" s="367"/>
      <c r="AG133" s="367"/>
      <c r="AH133" s="367"/>
      <c r="AI133" s="367"/>
      <c r="AJ133" s="367"/>
      <c r="AK133" s="367"/>
      <c r="AL133" s="367"/>
      <c r="AM133" s="367"/>
      <c r="AN133" s="367"/>
      <c r="AO133" s="367"/>
      <c r="AP133" s="367"/>
      <c r="AQ133" s="367"/>
      <c r="AR133" s="367"/>
      <c r="AS133" s="367"/>
      <c r="AT133" s="367"/>
      <c r="AU133" s="367"/>
      <c r="AV133" s="367"/>
      <c r="AW133" s="367"/>
      <c r="AX133" s="367"/>
      <c r="AY133" s="367"/>
      <c r="AZ133" s="367"/>
    </row>
    <row r="134" spans="4:52" s="15" customFormat="1" ht="15.75" x14ac:dyDescent="0.25">
      <c r="D134" s="41"/>
      <c r="F134" s="13"/>
      <c r="G134" s="13"/>
      <c r="H134" s="13"/>
      <c r="I134" s="13"/>
      <c r="J134" s="13"/>
      <c r="K134" s="13"/>
      <c r="L134" s="13"/>
      <c r="M134" s="13"/>
      <c r="N134" s="13"/>
      <c r="O134" s="13"/>
      <c r="P134" s="13"/>
      <c r="Q134" s="13"/>
      <c r="R134" s="13"/>
      <c r="S134" s="13"/>
      <c r="T134" s="13"/>
      <c r="U134" s="13"/>
      <c r="V134" s="13"/>
      <c r="W134" s="13"/>
      <c r="X134" s="13"/>
      <c r="Y134" s="13"/>
      <c r="Z134" s="13"/>
      <c r="AA134" s="13"/>
      <c r="AB134" s="13"/>
      <c r="AC134" s="367"/>
      <c r="AD134" s="367"/>
      <c r="AE134" s="367"/>
      <c r="AF134" s="367"/>
      <c r="AG134" s="367"/>
      <c r="AH134" s="367"/>
      <c r="AI134" s="367"/>
      <c r="AJ134" s="367"/>
      <c r="AK134" s="367"/>
      <c r="AL134" s="367"/>
      <c r="AM134" s="367"/>
      <c r="AN134" s="367"/>
      <c r="AO134" s="367"/>
      <c r="AP134" s="367"/>
      <c r="AQ134" s="367"/>
      <c r="AR134" s="367"/>
      <c r="AS134" s="367"/>
      <c r="AT134" s="367"/>
      <c r="AU134" s="367"/>
      <c r="AV134" s="367"/>
      <c r="AW134" s="367"/>
      <c r="AX134" s="367"/>
      <c r="AY134" s="367"/>
      <c r="AZ134" s="367"/>
    </row>
    <row r="135" spans="4:52" s="15" customFormat="1" ht="15.75" x14ac:dyDescent="0.25">
      <c r="D135" s="41"/>
      <c r="F135" s="13"/>
      <c r="G135" s="13"/>
      <c r="H135" s="13"/>
      <c r="I135" s="13"/>
      <c r="J135" s="13"/>
      <c r="K135" s="13"/>
      <c r="L135" s="13"/>
      <c r="M135" s="13"/>
      <c r="N135" s="13"/>
      <c r="O135" s="13"/>
      <c r="P135" s="13"/>
      <c r="Q135" s="13"/>
      <c r="R135" s="13"/>
      <c r="S135" s="13"/>
      <c r="T135" s="13"/>
      <c r="U135" s="13"/>
      <c r="V135" s="13"/>
      <c r="W135" s="13"/>
      <c r="X135" s="13"/>
      <c r="Y135" s="13"/>
      <c r="Z135" s="13"/>
      <c r="AA135" s="13"/>
      <c r="AB135" s="13"/>
      <c r="AC135" s="367"/>
      <c r="AD135" s="367"/>
      <c r="AE135" s="367"/>
      <c r="AF135" s="367"/>
      <c r="AG135" s="367"/>
      <c r="AH135" s="367"/>
      <c r="AI135" s="367"/>
      <c r="AJ135" s="367"/>
      <c r="AK135" s="367"/>
      <c r="AL135" s="367"/>
      <c r="AM135" s="367"/>
      <c r="AN135" s="367"/>
      <c r="AO135" s="367"/>
      <c r="AP135" s="367"/>
      <c r="AQ135" s="367"/>
      <c r="AR135" s="367"/>
      <c r="AS135" s="367"/>
      <c r="AT135" s="367"/>
      <c r="AU135" s="367"/>
      <c r="AV135" s="367"/>
      <c r="AW135" s="367"/>
      <c r="AX135" s="367"/>
      <c r="AY135" s="367"/>
      <c r="AZ135" s="367"/>
    </row>
    <row r="136" spans="4:52" ht="15.75" x14ac:dyDescent="0.25">
      <c r="AC136" s="367"/>
      <c r="AD136" s="367"/>
      <c r="AE136" s="367"/>
      <c r="AF136" s="367"/>
      <c r="AG136" s="367"/>
      <c r="AH136" s="367"/>
      <c r="AI136" s="367"/>
      <c r="AJ136" s="367"/>
      <c r="AK136" s="367"/>
      <c r="AL136" s="367"/>
      <c r="AM136" s="367"/>
      <c r="AN136" s="367"/>
      <c r="AO136" s="367"/>
      <c r="AP136" s="367"/>
      <c r="AQ136" s="367"/>
      <c r="AR136" s="367"/>
      <c r="AS136" s="367"/>
      <c r="AT136" s="367"/>
      <c r="AU136" s="367"/>
      <c r="AV136" s="367"/>
      <c r="AW136" s="367"/>
      <c r="AX136" s="367"/>
      <c r="AY136" s="367"/>
      <c r="AZ136" s="367"/>
    </row>
    <row r="137" spans="4:52" ht="15.75" x14ac:dyDescent="0.25">
      <c r="AC137" s="367"/>
      <c r="AD137" s="367"/>
      <c r="AE137" s="367"/>
      <c r="AF137" s="367"/>
      <c r="AG137" s="367"/>
      <c r="AH137" s="367"/>
      <c r="AI137" s="367"/>
      <c r="AJ137" s="367"/>
      <c r="AK137" s="367"/>
      <c r="AL137" s="367"/>
      <c r="AM137" s="367"/>
      <c r="AN137" s="367"/>
      <c r="AO137" s="367"/>
      <c r="AP137" s="367"/>
      <c r="AQ137" s="367"/>
      <c r="AR137" s="367"/>
      <c r="AS137" s="367"/>
      <c r="AT137" s="367"/>
      <c r="AU137" s="367"/>
      <c r="AV137" s="367"/>
      <c r="AW137" s="367"/>
      <c r="AX137" s="367"/>
      <c r="AY137" s="367"/>
      <c r="AZ137" s="367"/>
    </row>
    <row r="138" spans="4:52" ht="15.75" x14ac:dyDescent="0.25">
      <c r="AC138" s="367"/>
      <c r="AD138" s="367"/>
      <c r="AE138" s="367"/>
      <c r="AF138" s="367"/>
      <c r="AG138" s="367"/>
      <c r="AH138" s="367"/>
      <c r="AI138" s="367"/>
      <c r="AJ138" s="367"/>
      <c r="AK138" s="367"/>
      <c r="AL138" s="367"/>
      <c r="AM138" s="367"/>
      <c r="AN138" s="367"/>
      <c r="AO138" s="367"/>
      <c r="AP138" s="367"/>
      <c r="AQ138" s="367"/>
      <c r="AR138" s="367"/>
      <c r="AS138" s="367"/>
      <c r="AT138" s="367"/>
      <c r="AU138" s="367"/>
      <c r="AV138" s="367"/>
      <c r="AW138" s="367"/>
      <c r="AX138" s="367"/>
      <c r="AY138" s="367"/>
      <c r="AZ138" s="367"/>
    </row>
    <row r="139" spans="4:52" ht="15.75" x14ac:dyDescent="0.25">
      <c r="AC139" s="367"/>
      <c r="AD139" s="367"/>
      <c r="AE139" s="367"/>
      <c r="AF139" s="367"/>
      <c r="AG139" s="367"/>
      <c r="AH139" s="367"/>
      <c r="AI139" s="367"/>
      <c r="AJ139" s="367"/>
      <c r="AK139" s="367"/>
      <c r="AL139" s="367"/>
      <c r="AM139" s="367"/>
      <c r="AN139" s="367"/>
      <c r="AO139" s="367"/>
      <c r="AP139" s="367"/>
      <c r="AQ139" s="367"/>
      <c r="AR139" s="367"/>
      <c r="AS139" s="367"/>
      <c r="AT139" s="367"/>
      <c r="AU139" s="367"/>
      <c r="AV139" s="367"/>
      <c r="AW139" s="367"/>
      <c r="AX139" s="367"/>
      <c r="AY139" s="367"/>
      <c r="AZ139" s="367"/>
    </row>
    <row r="140" spans="4:52" ht="15.75" x14ac:dyDescent="0.25">
      <c r="AC140" s="367"/>
      <c r="AD140" s="367"/>
      <c r="AE140" s="367"/>
      <c r="AF140" s="367"/>
      <c r="AG140" s="367"/>
      <c r="AH140" s="367"/>
      <c r="AI140" s="367"/>
      <c r="AJ140" s="367"/>
      <c r="AK140" s="367"/>
      <c r="AL140" s="367"/>
      <c r="AM140" s="367"/>
      <c r="AN140" s="367"/>
      <c r="AO140" s="367"/>
      <c r="AP140" s="367"/>
      <c r="AQ140" s="367"/>
      <c r="AR140" s="367"/>
      <c r="AS140" s="367"/>
      <c r="AT140" s="367"/>
      <c r="AU140" s="367"/>
      <c r="AV140" s="367"/>
      <c r="AW140" s="367"/>
      <c r="AX140" s="367"/>
      <c r="AY140" s="367"/>
      <c r="AZ140" s="367"/>
    </row>
    <row r="141" spans="4:52" ht="15.75" x14ac:dyDescent="0.25">
      <c r="AC141" s="367"/>
      <c r="AD141" s="367"/>
      <c r="AE141" s="367"/>
      <c r="AF141" s="367"/>
      <c r="AG141" s="367"/>
      <c r="AH141" s="367"/>
      <c r="AI141" s="367"/>
      <c r="AJ141" s="367"/>
      <c r="AK141" s="367"/>
      <c r="AL141" s="367"/>
      <c r="AM141" s="367"/>
      <c r="AN141" s="367"/>
      <c r="AO141" s="367"/>
      <c r="AP141" s="367"/>
      <c r="AQ141" s="367"/>
      <c r="AR141" s="367"/>
      <c r="AS141" s="367"/>
      <c r="AT141" s="367"/>
      <c r="AU141" s="367"/>
      <c r="AV141" s="367"/>
      <c r="AW141" s="367"/>
      <c r="AX141" s="367"/>
      <c r="AY141" s="367"/>
      <c r="AZ141" s="367"/>
    </row>
    <row r="142" spans="4:52" ht="15.75" x14ac:dyDescent="0.25">
      <c r="AC142" s="367"/>
      <c r="AD142" s="367"/>
      <c r="AE142" s="367"/>
      <c r="AF142" s="367"/>
      <c r="AG142" s="367"/>
      <c r="AH142" s="367"/>
      <c r="AI142" s="367"/>
      <c r="AJ142" s="367"/>
      <c r="AK142" s="367"/>
      <c r="AL142" s="367"/>
      <c r="AM142" s="367"/>
      <c r="AN142" s="367"/>
      <c r="AO142" s="367"/>
      <c r="AP142" s="367"/>
      <c r="AQ142" s="367"/>
      <c r="AR142" s="367"/>
      <c r="AS142" s="367"/>
      <c r="AT142" s="367"/>
      <c r="AU142" s="367"/>
      <c r="AV142" s="367"/>
      <c r="AW142" s="367"/>
      <c r="AX142" s="367"/>
      <c r="AY142" s="367"/>
      <c r="AZ142" s="367"/>
    </row>
    <row r="143" spans="4:52" ht="15.75" x14ac:dyDescent="0.25">
      <c r="AC143" s="367"/>
      <c r="AD143" s="367"/>
      <c r="AE143" s="367"/>
      <c r="AF143" s="367"/>
      <c r="AG143" s="367"/>
      <c r="AH143" s="367"/>
      <c r="AI143" s="367"/>
      <c r="AJ143" s="367"/>
      <c r="AK143" s="367"/>
      <c r="AL143" s="367"/>
      <c r="AM143" s="367"/>
      <c r="AN143" s="367"/>
      <c r="AO143" s="367"/>
      <c r="AP143" s="367"/>
      <c r="AQ143" s="367"/>
      <c r="AR143" s="367"/>
      <c r="AS143" s="367"/>
      <c r="AT143" s="367"/>
      <c r="AU143" s="367"/>
      <c r="AV143" s="367"/>
      <c r="AW143" s="367"/>
      <c r="AX143" s="367"/>
      <c r="AY143" s="367"/>
      <c r="AZ143" s="367"/>
    </row>
    <row r="144" spans="4:52" ht="15.75" x14ac:dyDescent="0.25">
      <c r="AC144" s="367"/>
      <c r="AD144" s="367"/>
      <c r="AE144" s="367"/>
      <c r="AF144" s="367"/>
      <c r="AG144" s="367"/>
      <c r="AH144" s="367"/>
      <c r="AI144" s="367"/>
      <c r="AJ144" s="367"/>
      <c r="AK144" s="367"/>
      <c r="AL144" s="367"/>
      <c r="AM144" s="367"/>
      <c r="AN144" s="367"/>
      <c r="AO144" s="367"/>
      <c r="AP144" s="367"/>
      <c r="AQ144" s="367"/>
      <c r="AR144" s="367"/>
      <c r="AS144" s="367"/>
      <c r="AT144" s="367"/>
      <c r="AU144" s="367"/>
      <c r="AV144" s="367"/>
      <c r="AW144" s="367"/>
      <c r="AX144" s="367"/>
      <c r="AY144" s="367"/>
      <c r="AZ144" s="367"/>
    </row>
    <row r="145" spans="29:52" ht="15.75" x14ac:dyDescent="0.25">
      <c r="AC145" s="367"/>
      <c r="AD145" s="367"/>
      <c r="AE145" s="367"/>
      <c r="AF145" s="367"/>
      <c r="AG145" s="367"/>
      <c r="AH145" s="367"/>
      <c r="AI145" s="367"/>
      <c r="AJ145" s="367"/>
      <c r="AK145" s="367"/>
      <c r="AL145" s="367"/>
      <c r="AM145" s="367"/>
      <c r="AN145" s="367"/>
      <c r="AO145" s="367"/>
      <c r="AP145" s="367"/>
      <c r="AQ145" s="367"/>
      <c r="AR145" s="367"/>
      <c r="AS145" s="367"/>
      <c r="AT145" s="367"/>
      <c r="AU145" s="367"/>
      <c r="AV145" s="367"/>
      <c r="AW145" s="367"/>
      <c r="AX145" s="367"/>
      <c r="AY145" s="367"/>
      <c r="AZ145" s="367"/>
    </row>
    <row r="146" spans="29:52" ht="15.75" x14ac:dyDescent="0.25">
      <c r="AC146" s="367"/>
      <c r="AD146" s="367"/>
      <c r="AE146" s="367"/>
      <c r="AF146" s="367"/>
      <c r="AG146" s="367"/>
      <c r="AH146" s="367"/>
      <c r="AI146" s="367"/>
      <c r="AJ146" s="367"/>
      <c r="AK146" s="367"/>
      <c r="AL146" s="367"/>
      <c r="AM146" s="367"/>
      <c r="AN146" s="367"/>
      <c r="AO146" s="367"/>
      <c r="AP146" s="367"/>
      <c r="AQ146" s="367"/>
      <c r="AR146" s="367"/>
      <c r="AS146" s="367"/>
      <c r="AT146" s="367"/>
      <c r="AU146" s="367"/>
      <c r="AV146" s="367"/>
      <c r="AW146" s="367"/>
      <c r="AX146" s="367"/>
      <c r="AY146" s="367"/>
      <c r="AZ146" s="367"/>
    </row>
    <row r="147" spans="29:52" ht="15.75" x14ac:dyDescent="0.25">
      <c r="AC147" s="367"/>
      <c r="AD147" s="367"/>
      <c r="AE147" s="367"/>
      <c r="AF147" s="367"/>
      <c r="AG147" s="367"/>
      <c r="AH147" s="367"/>
      <c r="AI147" s="367"/>
      <c r="AJ147" s="367"/>
      <c r="AK147" s="367"/>
      <c r="AL147" s="367"/>
      <c r="AM147" s="367"/>
      <c r="AN147" s="367"/>
      <c r="AO147" s="367"/>
      <c r="AP147" s="367"/>
      <c r="AQ147" s="367"/>
      <c r="AR147" s="367"/>
      <c r="AS147" s="367"/>
      <c r="AT147" s="367"/>
      <c r="AU147" s="367"/>
      <c r="AV147" s="367"/>
      <c r="AW147" s="367"/>
      <c r="AX147" s="367"/>
      <c r="AY147" s="367"/>
      <c r="AZ147" s="367"/>
    </row>
    <row r="148" spans="29:52" ht="15.75" x14ac:dyDescent="0.25">
      <c r="AC148" s="367"/>
      <c r="AD148" s="367"/>
      <c r="AE148" s="367"/>
      <c r="AF148" s="367"/>
      <c r="AG148" s="367"/>
      <c r="AH148" s="367"/>
      <c r="AI148" s="367"/>
      <c r="AJ148" s="367"/>
      <c r="AK148" s="367"/>
      <c r="AL148" s="367"/>
      <c r="AM148" s="367"/>
      <c r="AN148" s="367"/>
      <c r="AO148" s="367"/>
      <c r="AP148" s="367"/>
      <c r="AQ148" s="367"/>
      <c r="AR148" s="367"/>
      <c r="AS148" s="367"/>
      <c r="AT148" s="367"/>
      <c r="AU148" s="367"/>
      <c r="AV148" s="367"/>
      <c r="AW148" s="367"/>
      <c r="AX148" s="367"/>
      <c r="AY148" s="367"/>
      <c r="AZ148" s="367"/>
    </row>
    <row r="149" spans="29:52" ht="15.75" x14ac:dyDescent="0.25">
      <c r="AC149" s="367"/>
      <c r="AD149" s="367"/>
      <c r="AE149" s="367"/>
      <c r="AF149" s="367"/>
      <c r="AG149" s="367"/>
      <c r="AH149" s="367"/>
      <c r="AI149" s="367"/>
      <c r="AJ149" s="367"/>
      <c r="AK149" s="367"/>
      <c r="AL149" s="367"/>
      <c r="AM149" s="367"/>
      <c r="AN149" s="367"/>
      <c r="AO149" s="367"/>
      <c r="AP149" s="367"/>
      <c r="AQ149" s="367"/>
      <c r="AR149" s="367"/>
      <c r="AS149" s="367"/>
      <c r="AT149" s="367"/>
      <c r="AU149" s="367"/>
      <c r="AV149" s="367"/>
      <c r="AW149" s="367"/>
      <c r="AX149" s="367"/>
      <c r="AY149" s="367"/>
      <c r="AZ149" s="367"/>
    </row>
    <row r="150" spans="29:52" ht="15.75" x14ac:dyDescent="0.25">
      <c r="AC150" s="367"/>
      <c r="AD150" s="367"/>
      <c r="AE150" s="367"/>
      <c r="AF150" s="367"/>
      <c r="AG150" s="367"/>
      <c r="AH150" s="367"/>
      <c r="AI150" s="367"/>
      <c r="AJ150" s="367"/>
      <c r="AK150" s="367"/>
      <c r="AL150" s="367"/>
      <c r="AM150" s="367"/>
      <c r="AN150" s="367"/>
      <c r="AO150" s="367"/>
      <c r="AP150" s="367"/>
      <c r="AQ150" s="367"/>
      <c r="AR150" s="367"/>
      <c r="AS150" s="367"/>
      <c r="AT150" s="367"/>
      <c r="AU150" s="367"/>
      <c r="AV150" s="367"/>
      <c r="AW150" s="367"/>
      <c r="AX150" s="367"/>
      <c r="AY150" s="367"/>
      <c r="AZ150" s="367"/>
    </row>
    <row r="151" spans="29:52" ht="15.75" x14ac:dyDescent="0.25">
      <c r="AC151" s="367"/>
      <c r="AD151" s="367"/>
      <c r="AE151" s="367"/>
      <c r="AF151" s="367"/>
      <c r="AG151" s="367"/>
      <c r="AH151" s="367"/>
      <c r="AI151" s="367"/>
      <c r="AJ151" s="367"/>
      <c r="AK151" s="367"/>
      <c r="AL151" s="367"/>
      <c r="AM151" s="367"/>
      <c r="AN151" s="367"/>
      <c r="AO151" s="367"/>
      <c r="AP151" s="367"/>
      <c r="AQ151" s="367"/>
      <c r="AR151" s="367"/>
      <c r="AS151" s="367"/>
      <c r="AT151" s="367"/>
      <c r="AU151" s="367"/>
      <c r="AV151" s="367"/>
      <c r="AW151" s="367"/>
      <c r="AX151" s="367"/>
      <c r="AY151" s="367"/>
      <c r="AZ151" s="367"/>
    </row>
    <row r="152" spans="29:52" ht="15.75" x14ac:dyDescent="0.25">
      <c r="AC152" s="367"/>
      <c r="AD152" s="367"/>
      <c r="AE152" s="367"/>
      <c r="AF152" s="367"/>
      <c r="AG152" s="367"/>
      <c r="AH152" s="367"/>
      <c r="AI152" s="367"/>
      <c r="AJ152" s="367"/>
      <c r="AK152" s="367"/>
      <c r="AL152" s="367"/>
      <c r="AM152" s="367"/>
      <c r="AN152" s="367"/>
      <c r="AO152" s="367"/>
      <c r="AP152" s="367"/>
      <c r="AQ152" s="367"/>
      <c r="AR152" s="367"/>
      <c r="AS152" s="367"/>
      <c r="AT152" s="367"/>
      <c r="AU152" s="367"/>
      <c r="AV152" s="367"/>
      <c r="AW152" s="367"/>
      <c r="AX152" s="367"/>
      <c r="AY152" s="367"/>
      <c r="AZ152" s="367"/>
    </row>
    <row r="153" spans="29:52" ht="15.75" x14ac:dyDescent="0.25">
      <c r="AC153" s="367"/>
      <c r="AD153" s="367"/>
      <c r="AE153" s="367"/>
      <c r="AF153" s="367"/>
      <c r="AG153" s="367"/>
      <c r="AH153" s="367"/>
      <c r="AI153" s="367"/>
      <c r="AJ153" s="367"/>
      <c r="AK153" s="367"/>
      <c r="AL153" s="367"/>
      <c r="AM153" s="367"/>
      <c r="AN153" s="367"/>
      <c r="AO153" s="367"/>
      <c r="AP153" s="367"/>
      <c r="AQ153" s="367"/>
      <c r="AR153" s="367"/>
      <c r="AS153" s="367"/>
      <c r="AT153" s="367"/>
      <c r="AU153" s="367"/>
      <c r="AV153" s="367"/>
      <c r="AW153" s="367"/>
      <c r="AX153" s="367"/>
      <c r="AY153" s="367"/>
      <c r="AZ153" s="367"/>
    </row>
    <row r="154" spans="29:52" ht="15.75" x14ac:dyDescent="0.25">
      <c r="AC154" s="367"/>
      <c r="AD154" s="367"/>
      <c r="AE154" s="367"/>
      <c r="AF154" s="367"/>
      <c r="AG154" s="367"/>
      <c r="AH154" s="367"/>
      <c r="AI154" s="367"/>
      <c r="AJ154" s="367"/>
      <c r="AK154" s="367"/>
      <c r="AL154" s="367"/>
      <c r="AM154" s="367"/>
      <c r="AN154" s="367"/>
      <c r="AO154" s="367"/>
      <c r="AP154" s="367"/>
      <c r="AQ154" s="367"/>
      <c r="AR154" s="367"/>
      <c r="AS154" s="367"/>
      <c r="AT154" s="367"/>
      <c r="AU154" s="367"/>
      <c r="AV154" s="367"/>
      <c r="AW154" s="367"/>
      <c r="AX154" s="367"/>
      <c r="AY154" s="367"/>
      <c r="AZ154" s="367"/>
    </row>
    <row r="155" spans="29:52" ht="15.75" x14ac:dyDescent="0.25">
      <c r="AC155" s="367"/>
      <c r="AD155" s="367"/>
      <c r="AE155" s="367"/>
      <c r="AF155" s="367"/>
      <c r="AG155" s="367"/>
      <c r="AH155" s="367"/>
      <c r="AI155" s="367"/>
      <c r="AJ155" s="367"/>
      <c r="AK155" s="367"/>
      <c r="AL155" s="367"/>
      <c r="AM155" s="367"/>
      <c r="AN155" s="367"/>
      <c r="AO155" s="367"/>
      <c r="AP155" s="367"/>
      <c r="AQ155" s="367"/>
      <c r="AR155" s="367"/>
      <c r="AS155" s="367"/>
      <c r="AT155" s="367"/>
      <c r="AU155" s="367"/>
      <c r="AV155" s="367"/>
      <c r="AW155" s="367"/>
      <c r="AX155" s="367"/>
      <c r="AY155" s="367"/>
      <c r="AZ155" s="367"/>
    </row>
    <row r="156" spans="29:52" ht="15.75" x14ac:dyDescent="0.25">
      <c r="AC156" s="367"/>
      <c r="AD156" s="367"/>
      <c r="AE156" s="367"/>
      <c r="AF156" s="367"/>
      <c r="AG156" s="367"/>
      <c r="AH156" s="367"/>
      <c r="AI156" s="367"/>
      <c r="AJ156" s="367"/>
      <c r="AK156" s="367"/>
      <c r="AL156" s="367"/>
      <c r="AM156" s="367"/>
      <c r="AN156" s="367"/>
      <c r="AO156" s="367"/>
      <c r="AP156" s="367"/>
      <c r="AQ156" s="367"/>
      <c r="AR156" s="367"/>
      <c r="AS156" s="367"/>
      <c r="AT156" s="367"/>
      <c r="AU156" s="367"/>
      <c r="AV156" s="367"/>
      <c r="AW156" s="367"/>
      <c r="AX156" s="367"/>
      <c r="AY156" s="367"/>
      <c r="AZ156" s="367"/>
    </row>
    <row r="157" spans="29:52" ht="15.75" x14ac:dyDescent="0.25">
      <c r="AC157" s="367"/>
      <c r="AD157" s="367"/>
      <c r="AE157" s="367"/>
      <c r="AF157" s="367"/>
      <c r="AG157" s="367"/>
      <c r="AH157" s="367"/>
      <c r="AI157" s="367"/>
      <c r="AJ157" s="367"/>
      <c r="AK157" s="367"/>
      <c r="AL157" s="367"/>
      <c r="AM157" s="367"/>
      <c r="AN157" s="367"/>
      <c r="AO157" s="367"/>
      <c r="AP157" s="367"/>
      <c r="AQ157" s="367"/>
      <c r="AR157" s="367"/>
      <c r="AS157" s="367"/>
      <c r="AT157" s="367"/>
      <c r="AU157" s="367"/>
      <c r="AV157" s="367"/>
      <c r="AW157" s="367"/>
      <c r="AX157" s="367"/>
      <c r="AY157" s="367"/>
      <c r="AZ157" s="367"/>
    </row>
    <row r="158" spans="29:52" ht="15.75" x14ac:dyDescent="0.25">
      <c r="AC158" s="367"/>
      <c r="AD158" s="367"/>
      <c r="AE158" s="367"/>
      <c r="AF158" s="367"/>
      <c r="AG158" s="367"/>
      <c r="AH158" s="367"/>
      <c r="AI158" s="367"/>
      <c r="AJ158" s="367"/>
      <c r="AK158" s="367"/>
      <c r="AL158" s="367"/>
      <c r="AM158" s="367"/>
      <c r="AN158" s="367"/>
      <c r="AO158" s="367"/>
      <c r="AP158" s="367"/>
      <c r="AQ158" s="367"/>
      <c r="AR158" s="367"/>
      <c r="AS158" s="367"/>
      <c r="AT158" s="367"/>
      <c r="AU158" s="367"/>
      <c r="AV158" s="367"/>
      <c r="AW158" s="367"/>
      <c r="AX158" s="367"/>
      <c r="AY158" s="367"/>
      <c r="AZ158" s="367"/>
    </row>
    <row r="159" spans="29:52" ht="15.75" x14ac:dyDescent="0.25">
      <c r="AC159" s="367"/>
      <c r="AD159" s="367"/>
      <c r="AE159" s="367"/>
      <c r="AF159" s="367"/>
      <c r="AG159" s="367"/>
      <c r="AH159" s="367"/>
      <c r="AI159" s="367"/>
      <c r="AJ159" s="367"/>
      <c r="AK159" s="367"/>
      <c r="AL159" s="367"/>
      <c r="AM159" s="367"/>
      <c r="AN159" s="367"/>
      <c r="AO159" s="367"/>
      <c r="AP159" s="367"/>
      <c r="AQ159" s="367"/>
      <c r="AR159" s="367"/>
      <c r="AS159" s="367"/>
      <c r="AT159" s="367"/>
      <c r="AU159" s="367"/>
      <c r="AV159" s="367"/>
      <c r="AW159" s="367"/>
      <c r="AX159" s="367"/>
      <c r="AY159" s="367"/>
      <c r="AZ159" s="367"/>
    </row>
    <row r="160" spans="29:52" ht="15.75" x14ac:dyDescent="0.25">
      <c r="AC160" s="367"/>
      <c r="AD160" s="367"/>
      <c r="AE160" s="367"/>
      <c r="AF160" s="367"/>
      <c r="AG160" s="367"/>
      <c r="AH160" s="367"/>
      <c r="AI160" s="367"/>
      <c r="AJ160" s="367"/>
      <c r="AK160" s="367"/>
      <c r="AL160" s="367"/>
      <c r="AM160" s="367"/>
      <c r="AN160" s="367"/>
      <c r="AO160" s="367"/>
      <c r="AP160" s="367"/>
      <c r="AQ160" s="367"/>
      <c r="AR160" s="367"/>
      <c r="AS160" s="367"/>
      <c r="AT160" s="367"/>
      <c r="AU160" s="367"/>
      <c r="AV160" s="367"/>
      <c r="AW160" s="367"/>
      <c r="AX160" s="367"/>
      <c r="AY160" s="367"/>
      <c r="AZ160" s="367"/>
    </row>
    <row r="161" spans="29:52" ht="15.75" x14ac:dyDescent="0.25">
      <c r="AC161" s="367"/>
      <c r="AD161" s="367"/>
      <c r="AE161" s="367"/>
      <c r="AF161" s="367"/>
      <c r="AG161" s="367"/>
      <c r="AH161" s="367"/>
      <c r="AI161" s="367"/>
      <c r="AJ161" s="367"/>
      <c r="AK161" s="367"/>
      <c r="AL161" s="367"/>
      <c r="AM161" s="367"/>
      <c r="AN161" s="367"/>
      <c r="AO161" s="367"/>
      <c r="AP161" s="367"/>
      <c r="AQ161" s="367"/>
      <c r="AR161" s="367"/>
      <c r="AS161" s="367"/>
      <c r="AT161" s="367"/>
      <c r="AU161" s="367"/>
      <c r="AV161" s="367"/>
      <c r="AW161" s="367"/>
      <c r="AX161" s="367"/>
      <c r="AY161" s="367"/>
      <c r="AZ161" s="367"/>
    </row>
    <row r="162" spans="29:52" ht="15.75" x14ac:dyDescent="0.25">
      <c r="AC162" s="367"/>
      <c r="AD162" s="367"/>
      <c r="AE162" s="367"/>
      <c r="AF162" s="367"/>
      <c r="AG162" s="367"/>
      <c r="AH162" s="367"/>
      <c r="AI162" s="367"/>
      <c r="AJ162" s="367"/>
      <c r="AK162" s="367"/>
      <c r="AL162" s="367"/>
      <c r="AM162" s="367"/>
      <c r="AN162" s="367"/>
      <c r="AO162" s="367"/>
      <c r="AP162" s="367"/>
      <c r="AQ162" s="367"/>
      <c r="AR162" s="367"/>
      <c r="AS162" s="367"/>
      <c r="AT162" s="367"/>
      <c r="AU162" s="367"/>
      <c r="AV162" s="367"/>
      <c r="AW162" s="367"/>
      <c r="AX162" s="367"/>
      <c r="AY162" s="367"/>
      <c r="AZ162" s="367"/>
    </row>
    <row r="163" spans="29:52" ht="15.75" x14ac:dyDescent="0.25">
      <c r="AC163" s="367"/>
      <c r="AD163" s="367"/>
      <c r="AE163" s="367"/>
      <c r="AF163" s="367"/>
      <c r="AG163" s="367"/>
      <c r="AH163" s="367"/>
      <c r="AI163" s="367"/>
      <c r="AJ163" s="367"/>
      <c r="AK163" s="367"/>
      <c r="AL163" s="367"/>
      <c r="AM163" s="367"/>
      <c r="AN163" s="367"/>
      <c r="AO163" s="367"/>
      <c r="AP163" s="367"/>
      <c r="AQ163" s="367"/>
      <c r="AR163" s="367"/>
      <c r="AS163" s="367"/>
      <c r="AT163" s="367"/>
      <c r="AU163" s="367"/>
      <c r="AV163" s="367"/>
      <c r="AW163" s="367"/>
      <c r="AX163" s="367"/>
      <c r="AY163" s="367"/>
      <c r="AZ163" s="367"/>
    </row>
    <row r="164" spans="29:52" ht="15.75" x14ac:dyDescent="0.25">
      <c r="AC164" s="367"/>
      <c r="AD164" s="367"/>
      <c r="AE164" s="367"/>
      <c r="AF164" s="367"/>
      <c r="AG164" s="367"/>
      <c r="AH164" s="367"/>
      <c r="AI164" s="367"/>
      <c r="AJ164" s="367"/>
      <c r="AK164" s="367"/>
      <c r="AL164" s="367"/>
      <c r="AM164" s="367"/>
      <c r="AN164" s="367"/>
      <c r="AO164" s="367"/>
      <c r="AP164" s="367"/>
      <c r="AQ164" s="367"/>
      <c r="AR164" s="367"/>
      <c r="AS164" s="367"/>
      <c r="AT164" s="367"/>
      <c r="AU164" s="367"/>
      <c r="AV164" s="367"/>
      <c r="AW164" s="367"/>
      <c r="AX164" s="367"/>
      <c r="AY164" s="367"/>
      <c r="AZ164" s="367"/>
    </row>
    <row r="165" spans="29:52" ht="15.75" x14ac:dyDescent="0.25">
      <c r="AC165" s="367"/>
      <c r="AD165" s="367"/>
      <c r="AE165" s="367"/>
      <c r="AF165" s="367"/>
      <c r="AG165" s="367"/>
      <c r="AH165" s="367"/>
      <c r="AI165" s="367"/>
      <c r="AJ165" s="367"/>
      <c r="AK165" s="367"/>
      <c r="AL165" s="367"/>
      <c r="AM165" s="367"/>
      <c r="AN165" s="367"/>
      <c r="AO165" s="367"/>
      <c r="AP165" s="367"/>
      <c r="AQ165" s="367"/>
      <c r="AR165" s="367"/>
      <c r="AS165" s="367"/>
      <c r="AT165" s="367"/>
      <c r="AU165" s="367"/>
      <c r="AV165" s="367"/>
      <c r="AW165" s="367"/>
      <c r="AX165" s="367"/>
      <c r="AY165" s="367"/>
      <c r="AZ165" s="367"/>
    </row>
    <row r="166" spans="29:52" ht="15.75" x14ac:dyDescent="0.25">
      <c r="AC166" s="367"/>
      <c r="AD166" s="367"/>
      <c r="AE166" s="367"/>
      <c r="AF166" s="367"/>
      <c r="AG166" s="367"/>
      <c r="AH166" s="367"/>
      <c r="AI166" s="367"/>
      <c r="AJ166" s="367"/>
      <c r="AK166" s="367"/>
      <c r="AL166" s="367"/>
      <c r="AM166" s="367"/>
      <c r="AN166" s="367"/>
      <c r="AO166" s="367"/>
      <c r="AP166" s="367"/>
      <c r="AQ166" s="367"/>
      <c r="AR166" s="367"/>
      <c r="AS166" s="367"/>
      <c r="AT166" s="367"/>
      <c r="AU166" s="367"/>
      <c r="AV166" s="367"/>
      <c r="AW166" s="367"/>
      <c r="AX166" s="367"/>
      <c r="AY166" s="367"/>
      <c r="AZ166" s="367"/>
    </row>
    <row r="167" spans="29:52" ht="15.75" x14ac:dyDescent="0.25">
      <c r="AC167" s="367"/>
      <c r="AD167" s="367"/>
      <c r="AE167" s="367"/>
      <c r="AF167" s="367"/>
      <c r="AG167" s="367"/>
      <c r="AH167" s="367"/>
      <c r="AI167" s="367"/>
      <c r="AJ167" s="367"/>
      <c r="AK167" s="367"/>
      <c r="AL167" s="367"/>
      <c r="AM167" s="367"/>
      <c r="AN167" s="367"/>
      <c r="AO167" s="367"/>
      <c r="AP167" s="367"/>
      <c r="AQ167" s="367"/>
      <c r="AR167" s="367"/>
      <c r="AS167" s="367"/>
      <c r="AT167" s="367"/>
      <c r="AU167" s="367"/>
      <c r="AV167" s="367"/>
      <c r="AW167" s="367"/>
      <c r="AX167" s="367"/>
      <c r="AY167" s="367"/>
      <c r="AZ167" s="367"/>
    </row>
    <row r="168" spans="29:52" ht="15.75" x14ac:dyDescent="0.25">
      <c r="AC168" s="367"/>
      <c r="AD168" s="367"/>
      <c r="AE168" s="367"/>
      <c r="AF168" s="367"/>
      <c r="AG168" s="367"/>
      <c r="AH168" s="367"/>
      <c r="AI168" s="367"/>
      <c r="AJ168" s="367"/>
      <c r="AK168" s="367"/>
      <c r="AL168" s="367"/>
      <c r="AM168" s="367"/>
      <c r="AN168" s="367"/>
      <c r="AO168" s="367"/>
      <c r="AP168" s="367"/>
      <c r="AQ168" s="367"/>
      <c r="AR168" s="367"/>
      <c r="AS168" s="367"/>
      <c r="AT168" s="367"/>
      <c r="AU168" s="367"/>
      <c r="AV168" s="367"/>
      <c r="AW168" s="367"/>
      <c r="AX168" s="367"/>
      <c r="AY168" s="367"/>
      <c r="AZ168" s="367"/>
    </row>
    <row r="169" spans="29:52" ht="15.75" x14ac:dyDescent="0.25">
      <c r="AC169" s="367"/>
      <c r="AD169" s="367"/>
      <c r="AE169" s="367"/>
      <c r="AF169" s="367"/>
      <c r="AG169" s="367"/>
      <c r="AH169" s="367"/>
      <c r="AI169" s="367"/>
      <c r="AJ169" s="367"/>
      <c r="AK169" s="367"/>
      <c r="AL169" s="367"/>
      <c r="AM169" s="367"/>
      <c r="AN169" s="367"/>
      <c r="AO169" s="367"/>
      <c r="AP169" s="367"/>
      <c r="AQ169" s="367"/>
      <c r="AR169" s="367"/>
      <c r="AS169" s="367"/>
      <c r="AT169" s="367"/>
      <c r="AU169" s="367"/>
      <c r="AV169" s="367"/>
      <c r="AW169" s="367"/>
      <c r="AX169" s="367"/>
      <c r="AY169" s="367"/>
      <c r="AZ169" s="367"/>
    </row>
    <row r="170" spans="29:52" ht="15.75" x14ac:dyDescent="0.25">
      <c r="AC170" s="367"/>
      <c r="AD170" s="367"/>
      <c r="AE170" s="367"/>
      <c r="AF170" s="367"/>
      <c r="AG170" s="367"/>
      <c r="AH170" s="367"/>
      <c r="AI170" s="367"/>
      <c r="AJ170" s="367"/>
      <c r="AK170" s="367"/>
      <c r="AL170" s="367"/>
      <c r="AM170" s="367"/>
      <c r="AN170" s="367"/>
      <c r="AO170" s="367"/>
      <c r="AP170" s="367"/>
      <c r="AQ170" s="367"/>
      <c r="AR170" s="367"/>
      <c r="AS170" s="367"/>
      <c r="AT170" s="367"/>
      <c r="AU170" s="367"/>
      <c r="AV170" s="367"/>
      <c r="AW170" s="367"/>
      <c r="AX170" s="367"/>
      <c r="AY170" s="367"/>
      <c r="AZ170" s="367"/>
    </row>
    <row r="171" spans="29:52" ht="15.75" x14ac:dyDescent="0.25">
      <c r="AC171" s="367"/>
      <c r="AD171" s="367"/>
      <c r="AE171" s="367"/>
      <c r="AF171" s="367"/>
      <c r="AG171" s="367"/>
      <c r="AH171" s="367"/>
      <c r="AI171" s="367"/>
      <c r="AJ171" s="367"/>
      <c r="AK171" s="367"/>
      <c r="AL171" s="367"/>
      <c r="AM171" s="367"/>
      <c r="AN171" s="367"/>
      <c r="AO171" s="367"/>
      <c r="AP171" s="367"/>
      <c r="AQ171" s="367"/>
      <c r="AR171" s="367"/>
      <c r="AS171" s="367"/>
      <c r="AT171" s="367"/>
      <c r="AU171" s="367"/>
      <c r="AV171" s="367"/>
      <c r="AW171" s="367"/>
      <c r="AX171" s="367"/>
      <c r="AY171" s="367"/>
      <c r="AZ171" s="367"/>
    </row>
    <row r="172" spans="29:52" ht="15.75" x14ac:dyDescent="0.25">
      <c r="AC172" s="367"/>
      <c r="AD172" s="367"/>
      <c r="AE172" s="367"/>
      <c r="AF172" s="367"/>
      <c r="AG172" s="367"/>
      <c r="AH172" s="367"/>
      <c r="AI172" s="367"/>
      <c r="AJ172" s="367"/>
      <c r="AK172" s="367"/>
      <c r="AL172" s="367"/>
      <c r="AM172" s="367"/>
      <c r="AN172" s="367"/>
      <c r="AO172" s="367"/>
      <c r="AP172" s="367"/>
      <c r="AQ172" s="367"/>
      <c r="AR172" s="367"/>
      <c r="AS172" s="367"/>
      <c r="AT172" s="367"/>
      <c r="AU172" s="367"/>
      <c r="AV172" s="367"/>
      <c r="AW172" s="367"/>
      <c r="AX172" s="367"/>
      <c r="AY172" s="367"/>
      <c r="AZ172" s="367"/>
    </row>
    <row r="173" spans="29:52" ht="15.75" x14ac:dyDescent="0.25">
      <c r="AC173" s="367"/>
      <c r="AD173" s="367"/>
      <c r="AE173" s="367"/>
      <c r="AF173" s="367"/>
      <c r="AG173" s="367"/>
      <c r="AH173" s="367"/>
      <c r="AI173" s="367"/>
      <c r="AJ173" s="367"/>
      <c r="AK173" s="367"/>
      <c r="AL173" s="367"/>
      <c r="AM173" s="367"/>
      <c r="AN173" s="367"/>
      <c r="AO173" s="367"/>
      <c r="AP173" s="367"/>
      <c r="AQ173" s="367"/>
      <c r="AR173" s="367"/>
      <c r="AS173" s="367"/>
      <c r="AT173" s="367"/>
      <c r="AU173" s="367"/>
      <c r="AV173" s="367"/>
      <c r="AW173" s="367"/>
      <c r="AX173" s="367"/>
      <c r="AY173" s="367"/>
      <c r="AZ173" s="367"/>
    </row>
    <row r="174" spans="29:52" ht="15.75" x14ac:dyDescent="0.25">
      <c r="AC174" s="367"/>
      <c r="AD174" s="367"/>
      <c r="AE174" s="367"/>
      <c r="AF174" s="367"/>
      <c r="AG174" s="367"/>
      <c r="AH174" s="367"/>
      <c r="AI174" s="367"/>
      <c r="AJ174" s="367"/>
      <c r="AK174" s="367"/>
      <c r="AL174" s="367"/>
      <c r="AM174" s="367"/>
      <c r="AN174" s="367"/>
      <c r="AO174" s="367"/>
      <c r="AP174" s="367"/>
      <c r="AQ174" s="367"/>
      <c r="AR174" s="367"/>
      <c r="AS174" s="367"/>
      <c r="AT174" s="367"/>
      <c r="AU174" s="367"/>
      <c r="AV174" s="367"/>
      <c r="AW174" s="367"/>
      <c r="AX174" s="367"/>
      <c r="AY174" s="367"/>
      <c r="AZ174" s="367"/>
    </row>
    <row r="175" spans="29:52" ht="15.75" x14ac:dyDescent="0.25">
      <c r="AC175" s="367"/>
      <c r="AD175" s="367"/>
      <c r="AE175" s="367"/>
      <c r="AF175" s="367"/>
      <c r="AG175" s="367"/>
      <c r="AH175" s="367"/>
      <c r="AI175" s="367"/>
      <c r="AJ175" s="367"/>
      <c r="AK175" s="367"/>
      <c r="AL175" s="367"/>
      <c r="AM175" s="367"/>
      <c r="AN175" s="367"/>
      <c r="AO175" s="367"/>
      <c r="AP175" s="367"/>
      <c r="AQ175" s="367"/>
      <c r="AR175" s="367"/>
      <c r="AS175" s="367"/>
      <c r="AT175" s="367"/>
      <c r="AU175" s="367"/>
      <c r="AV175" s="367"/>
      <c r="AW175" s="367"/>
      <c r="AX175" s="367"/>
      <c r="AY175" s="367"/>
      <c r="AZ175" s="367"/>
    </row>
    <row r="176" spans="29:52" ht="15.75" x14ac:dyDescent="0.25">
      <c r="AC176" s="367"/>
      <c r="AD176" s="367"/>
      <c r="AE176" s="367"/>
      <c r="AF176" s="367"/>
      <c r="AG176" s="367"/>
      <c r="AH176" s="367"/>
      <c r="AI176" s="367"/>
      <c r="AJ176" s="367"/>
      <c r="AK176" s="367"/>
      <c r="AL176" s="367"/>
      <c r="AM176" s="367"/>
      <c r="AN176" s="367"/>
      <c r="AO176" s="367"/>
      <c r="AP176" s="367"/>
      <c r="AQ176" s="367"/>
      <c r="AR176" s="367"/>
      <c r="AS176" s="367"/>
      <c r="AT176" s="367"/>
      <c r="AU176" s="367"/>
      <c r="AV176" s="367"/>
      <c r="AW176" s="367"/>
      <c r="AX176" s="367"/>
      <c r="AY176" s="367"/>
      <c r="AZ176" s="367"/>
    </row>
    <row r="177" spans="29:52" ht="15.75" x14ac:dyDescent="0.25">
      <c r="AC177" s="367"/>
      <c r="AD177" s="367"/>
      <c r="AE177" s="367"/>
      <c r="AF177" s="367"/>
      <c r="AG177" s="367"/>
      <c r="AH177" s="367"/>
      <c r="AI177" s="367"/>
      <c r="AJ177" s="367"/>
      <c r="AK177" s="367"/>
      <c r="AL177" s="367"/>
      <c r="AM177" s="367"/>
      <c r="AN177" s="367"/>
      <c r="AO177" s="367"/>
      <c r="AP177" s="367"/>
      <c r="AQ177" s="367"/>
      <c r="AR177" s="367"/>
      <c r="AS177" s="367"/>
      <c r="AT177" s="367"/>
      <c r="AU177" s="367"/>
      <c r="AV177" s="367"/>
      <c r="AW177" s="367"/>
      <c r="AX177" s="367"/>
      <c r="AY177" s="367"/>
      <c r="AZ177" s="367"/>
    </row>
    <row r="178" spans="29:52" ht="15.75" x14ac:dyDescent="0.25">
      <c r="AC178" s="367"/>
      <c r="AD178" s="367"/>
      <c r="AE178" s="367"/>
      <c r="AF178" s="367"/>
      <c r="AG178" s="367"/>
      <c r="AH178" s="367"/>
      <c r="AI178" s="367"/>
      <c r="AJ178" s="367"/>
      <c r="AK178" s="367"/>
      <c r="AL178" s="367"/>
      <c r="AM178" s="367"/>
      <c r="AN178" s="367"/>
      <c r="AO178" s="367"/>
      <c r="AP178" s="367"/>
      <c r="AQ178" s="367"/>
      <c r="AR178" s="367"/>
      <c r="AS178" s="367"/>
      <c r="AT178" s="367"/>
      <c r="AU178" s="367"/>
      <c r="AV178" s="367"/>
      <c r="AW178" s="367"/>
      <c r="AX178" s="367"/>
      <c r="AY178" s="367"/>
      <c r="AZ178" s="367"/>
    </row>
    <row r="179" spans="29:52" ht="15.75" x14ac:dyDescent="0.25">
      <c r="AC179" s="367"/>
      <c r="AD179" s="367"/>
      <c r="AE179" s="367"/>
      <c r="AF179" s="367"/>
      <c r="AG179" s="367"/>
      <c r="AH179" s="367"/>
      <c r="AI179" s="367"/>
      <c r="AJ179" s="367"/>
      <c r="AK179" s="367"/>
      <c r="AL179" s="367"/>
      <c r="AM179" s="367"/>
      <c r="AN179" s="367"/>
      <c r="AO179" s="367"/>
      <c r="AP179" s="367"/>
      <c r="AQ179" s="367"/>
      <c r="AR179" s="367"/>
      <c r="AS179" s="367"/>
      <c r="AT179" s="367"/>
      <c r="AU179" s="367"/>
      <c r="AV179" s="367"/>
      <c r="AW179" s="367"/>
      <c r="AX179" s="367"/>
      <c r="AY179" s="367"/>
      <c r="AZ179" s="367"/>
    </row>
    <row r="180" spans="29:52" ht="15.75" x14ac:dyDescent="0.25">
      <c r="AC180" s="367"/>
      <c r="AD180" s="367"/>
      <c r="AE180" s="367"/>
      <c r="AF180" s="367"/>
      <c r="AG180" s="367"/>
      <c r="AH180" s="367"/>
      <c r="AI180" s="367"/>
      <c r="AJ180" s="367"/>
      <c r="AK180" s="367"/>
      <c r="AL180" s="367"/>
      <c r="AM180" s="367"/>
      <c r="AN180" s="367"/>
      <c r="AO180" s="367"/>
      <c r="AP180" s="367"/>
      <c r="AQ180" s="367"/>
      <c r="AR180" s="367"/>
      <c r="AS180" s="367"/>
      <c r="AT180" s="367"/>
      <c r="AU180" s="367"/>
      <c r="AV180" s="367"/>
      <c r="AW180" s="367"/>
      <c r="AX180" s="367"/>
      <c r="AY180" s="367"/>
      <c r="AZ180" s="367"/>
    </row>
    <row r="181" spans="29:52" ht="15.75" x14ac:dyDescent="0.25">
      <c r="AC181" s="367"/>
      <c r="AD181" s="367"/>
      <c r="AE181" s="367"/>
      <c r="AF181" s="367"/>
      <c r="AG181" s="367"/>
      <c r="AH181" s="367"/>
      <c r="AI181" s="367"/>
      <c r="AJ181" s="367"/>
      <c r="AK181" s="367"/>
      <c r="AL181" s="367"/>
      <c r="AM181" s="367"/>
      <c r="AN181" s="367"/>
      <c r="AO181" s="367"/>
      <c r="AP181" s="367"/>
      <c r="AQ181" s="367"/>
      <c r="AR181" s="367"/>
      <c r="AS181" s="367"/>
      <c r="AT181" s="367"/>
      <c r="AU181" s="367"/>
      <c r="AV181" s="367"/>
      <c r="AW181" s="367"/>
      <c r="AX181" s="367"/>
      <c r="AY181" s="367"/>
      <c r="AZ181" s="367"/>
    </row>
    <row r="182" spans="29:52" ht="15.75" x14ac:dyDescent="0.25">
      <c r="AC182" s="367"/>
      <c r="AD182" s="367"/>
      <c r="AE182" s="367"/>
      <c r="AF182" s="367"/>
      <c r="AG182" s="367"/>
      <c r="AH182" s="367"/>
      <c r="AI182" s="367"/>
      <c r="AJ182" s="367"/>
      <c r="AK182" s="367"/>
      <c r="AL182" s="367"/>
      <c r="AM182" s="367"/>
      <c r="AN182" s="367"/>
      <c r="AO182" s="367"/>
      <c r="AP182" s="367"/>
      <c r="AQ182" s="367"/>
      <c r="AR182" s="367"/>
      <c r="AS182" s="367"/>
      <c r="AT182" s="367"/>
      <c r="AU182" s="367"/>
      <c r="AV182" s="367"/>
      <c r="AW182" s="367"/>
      <c r="AX182" s="367"/>
      <c r="AY182" s="367"/>
      <c r="AZ182" s="367"/>
    </row>
    <row r="183" spans="29:52" ht="15.75" x14ac:dyDescent="0.25">
      <c r="AC183" s="367"/>
      <c r="AD183" s="367"/>
      <c r="AE183" s="367"/>
      <c r="AF183" s="367"/>
      <c r="AG183" s="367"/>
      <c r="AH183" s="367"/>
      <c r="AI183" s="367"/>
      <c r="AJ183" s="367"/>
      <c r="AK183" s="367"/>
      <c r="AL183" s="367"/>
      <c r="AM183" s="367"/>
      <c r="AN183" s="367"/>
      <c r="AO183" s="367"/>
      <c r="AP183" s="367"/>
      <c r="AQ183" s="367"/>
      <c r="AR183" s="367"/>
      <c r="AS183" s="367"/>
      <c r="AT183" s="367"/>
      <c r="AU183" s="367"/>
      <c r="AV183" s="367"/>
      <c r="AW183" s="367"/>
      <c r="AX183" s="367"/>
      <c r="AY183" s="367"/>
      <c r="AZ183" s="367"/>
    </row>
    <row r="184" spans="29:52" ht="15.75" x14ac:dyDescent="0.25">
      <c r="AC184" s="367"/>
      <c r="AD184" s="367"/>
      <c r="AE184" s="367"/>
      <c r="AF184" s="367"/>
      <c r="AG184" s="367"/>
      <c r="AH184" s="367"/>
      <c r="AI184" s="367"/>
      <c r="AJ184" s="367"/>
      <c r="AK184" s="367"/>
      <c r="AL184" s="367"/>
      <c r="AM184" s="367"/>
      <c r="AN184" s="367"/>
      <c r="AO184" s="367"/>
      <c r="AP184" s="367"/>
      <c r="AQ184" s="367"/>
      <c r="AR184" s="367"/>
      <c r="AS184" s="367"/>
      <c r="AT184" s="367"/>
      <c r="AU184" s="367"/>
      <c r="AV184" s="367"/>
      <c r="AW184" s="367"/>
      <c r="AX184" s="367"/>
      <c r="AY184" s="367"/>
      <c r="AZ184" s="367"/>
    </row>
    <row r="185" spans="29:52" ht="15.75" x14ac:dyDescent="0.25">
      <c r="AC185" s="367"/>
      <c r="AD185" s="367"/>
      <c r="AE185" s="367"/>
      <c r="AF185" s="367"/>
      <c r="AG185" s="367"/>
      <c r="AH185" s="367"/>
      <c r="AI185" s="367"/>
      <c r="AJ185" s="367"/>
      <c r="AK185" s="367"/>
      <c r="AL185" s="367"/>
      <c r="AM185" s="367"/>
      <c r="AN185" s="367"/>
      <c r="AO185" s="367"/>
      <c r="AP185" s="367"/>
      <c r="AQ185" s="367"/>
      <c r="AR185" s="367"/>
      <c r="AS185" s="367"/>
      <c r="AT185" s="367"/>
      <c r="AU185" s="367"/>
      <c r="AV185" s="367"/>
      <c r="AW185" s="367"/>
      <c r="AX185" s="367"/>
      <c r="AY185" s="367"/>
      <c r="AZ185" s="367"/>
    </row>
    <row r="186" spans="29:52" ht="15.75" x14ac:dyDescent="0.25">
      <c r="AC186" s="367"/>
      <c r="AD186" s="367"/>
      <c r="AE186" s="367"/>
      <c r="AF186" s="367"/>
      <c r="AG186" s="367"/>
      <c r="AH186" s="367"/>
      <c r="AI186" s="367"/>
      <c r="AJ186" s="367"/>
      <c r="AK186" s="367"/>
      <c r="AL186" s="367"/>
      <c r="AM186" s="367"/>
      <c r="AN186" s="367"/>
      <c r="AO186" s="367"/>
      <c r="AP186" s="367"/>
      <c r="AQ186" s="367"/>
      <c r="AR186" s="367"/>
      <c r="AS186" s="367"/>
      <c r="AT186" s="367"/>
      <c r="AU186" s="367"/>
      <c r="AV186" s="367"/>
      <c r="AW186" s="367"/>
      <c r="AX186" s="367"/>
      <c r="AY186" s="367"/>
      <c r="AZ186" s="367"/>
    </row>
    <row r="187" spans="29:52" ht="15.75" x14ac:dyDescent="0.25">
      <c r="AC187" s="367"/>
      <c r="AD187" s="367"/>
      <c r="AE187" s="367"/>
      <c r="AF187" s="367"/>
      <c r="AG187" s="367"/>
      <c r="AH187" s="367"/>
      <c r="AI187" s="367"/>
      <c r="AJ187" s="367"/>
      <c r="AK187" s="367"/>
      <c r="AL187" s="367"/>
      <c r="AM187" s="367"/>
      <c r="AN187" s="367"/>
      <c r="AO187" s="367"/>
      <c r="AP187" s="367"/>
      <c r="AQ187" s="367"/>
      <c r="AR187" s="367"/>
      <c r="AS187" s="367"/>
      <c r="AT187" s="367"/>
      <c r="AU187" s="367"/>
      <c r="AV187" s="367"/>
      <c r="AW187" s="367"/>
      <c r="AX187" s="367"/>
      <c r="AY187" s="367"/>
      <c r="AZ187" s="367"/>
    </row>
    <row r="188" spans="29:52" ht="15.75" x14ac:dyDescent="0.25">
      <c r="AC188" s="367"/>
      <c r="AD188" s="367"/>
      <c r="AE188" s="367"/>
      <c r="AF188" s="367"/>
      <c r="AG188" s="367"/>
      <c r="AH188" s="367"/>
      <c r="AI188" s="367"/>
      <c r="AJ188" s="367"/>
      <c r="AK188" s="367"/>
      <c r="AL188" s="367"/>
      <c r="AM188" s="367"/>
      <c r="AN188" s="367"/>
      <c r="AO188" s="367"/>
      <c r="AP188" s="367"/>
      <c r="AQ188" s="367"/>
      <c r="AR188" s="367"/>
      <c r="AS188" s="367"/>
      <c r="AT188" s="367"/>
      <c r="AU188" s="367"/>
      <c r="AV188" s="367"/>
      <c r="AW188" s="367"/>
      <c r="AX188" s="367"/>
      <c r="AY188" s="367"/>
      <c r="AZ188" s="367"/>
    </row>
    <row r="189" spans="29:52" ht="15.75" x14ac:dyDescent="0.25">
      <c r="AC189" s="367"/>
      <c r="AD189" s="367"/>
      <c r="AE189" s="367"/>
      <c r="AF189" s="367"/>
      <c r="AG189" s="367"/>
      <c r="AH189" s="367"/>
      <c r="AI189" s="367"/>
      <c r="AJ189" s="367"/>
      <c r="AK189" s="367"/>
      <c r="AL189" s="367"/>
      <c r="AM189" s="367"/>
      <c r="AN189" s="367"/>
      <c r="AO189" s="367"/>
      <c r="AP189" s="367"/>
      <c r="AQ189" s="367"/>
      <c r="AR189" s="367"/>
      <c r="AS189" s="367"/>
      <c r="AT189" s="367"/>
      <c r="AU189" s="367"/>
      <c r="AV189" s="367"/>
      <c r="AW189" s="367"/>
      <c r="AX189" s="367"/>
      <c r="AY189" s="367"/>
      <c r="AZ189" s="367"/>
    </row>
    <row r="190" spans="29:52" ht="15.75" x14ac:dyDescent="0.25">
      <c r="AC190" s="367"/>
      <c r="AD190" s="367"/>
      <c r="AE190" s="367"/>
      <c r="AF190" s="367"/>
      <c r="AG190" s="367"/>
      <c r="AH190" s="367"/>
      <c r="AI190" s="367"/>
      <c r="AJ190" s="367"/>
      <c r="AK190" s="367"/>
      <c r="AL190" s="367"/>
      <c r="AM190" s="367"/>
      <c r="AN190" s="367"/>
      <c r="AO190" s="367"/>
      <c r="AP190" s="367"/>
      <c r="AQ190" s="367"/>
      <c r="AR190" s="367"/>
      <c r="AS190" s="367"/>
      <c r="AT190" s="367"/>
      <c r="AU190" s="367"/>
      <c r="AV190" s="367"/>
      <c r="AW190" s="367"/>
      <c r="AX190" s="367"/>
      <c r="AY190" s="367"/>
      <c r="AZ190" s="367"/>
    </row>
    <row r="191" spans="29:52" ht="15.75" x14ac:dyDescent="0.25">
      <c r="AC191" s="367"/>
      <c r="AD191" s="367"/>
      <c r="AE191" s="367"/>
      <c r="AF191" s="367"/>
      <c r="AG191" s="367"/>
      <c r="AH191" s="367"/>
      <c r="AI191" s="367"/>
      <c r="AJ191" s="367"/>
      <c r="AK191" s="367"/>
      <c r="AL191" s="367"/>
      <c r="AM191" s="367"/>
      <c r="AN191" s="367"/>
      <c r="AO191" s="367"/>
      <c r="AP191" s="367"/>
      <c r="AQ191" s="367"/>
      <c r="AR191" s="367"/>
      <c r="AS191" s="367"/>
      <c r="AT191" s="367"/>
      <c r="AU191" s="367"/>
      <c r="AV191" s="367"/>
      <c r="AW191" s="367"/>
      <c r="AX191" s="367"/>
      <c r="AY191" s="367"/>
      <c r="AZ191" s="367"/>
    </row>
    <row r="192" spans="29:52" ht="15.75" x14ac:dyDescent="0.25">
      <c r="AC192" s="367"/>
      <c r="AD192" s="367"/>
      <c r="AE192" s="367"/>
      <c r="AF192" s="367"/>
      <c r="AG192" s="367"/>
      <c r="AH192" s="367"/>
      <c r="AI192" s="367"/>
      <c r="AJ192" s="367"/>
      <c r="AK192" s="367"/>
      <c r="AL192" s="367"/>
      <c r="AM192" s="367"/>
      <c r="AN192" s="367"/>
      <c r="AO192" s="367"/>
      <c r="AP192" s="367"/>
      <c r="AQ192" s="367"/>
      <c r="AR192" s="367"/>
      <c r="AS192" s="367"/>
      <c r="AT192" s="367"/>
      <c r="AU192" s="367"/>
      <c r="AV192" s="367"/>
      <c r="AW192" s="367"/>
      <c r="AX192" s="367"/>
      <c r="AY192" s="367"/>
      <c r="AZ192" s="367"/>
    </row>
    <row r="235" spans="2:50" s="31" customFormat="1" x14ac:dyDescent="0.25">
      <c r="B235" s="13"/>
      <c r="C235" s="13"/>
      <c r="D235" s="13"/>
      <c r="E235" s="15"/>
      <c r="F235" s="13"/>
      <c r="AE235" s="13"/>
      <c r="AF235" s="13"/>
      <c r="AG235" s="13"/>
      <c r="AH235" s="13"/>
      <c r="AI235" s="13"/>
      <c r="AJ235" s="13"/>
      <c r="AK235" s="13"/>
      <c r="AL235" s="13"/>
      <c r="AM235" s="13"/>
      <c r="AN235" s="13"/>
      <c r="AO235" s="13"/>
      <c r="AP235" s="13"/>
      <c r="AQ235" s="13"/>
      <c r="AR235" s="13"/>
      <c r="AS235" s="13"/>
      <c r="AT235" s="13"/>
      <c r="AU235" s="13"/>
      <c r="AV235" s="13"/>
      <c r="AW235" s="13"/>
      <c r="AX235" s="13"/>
    </row>
    <row r="236" spans="2:50" s="31" customFormat="1" x14ac:dyDescent="0.25">
      <c r="B236" s="13"/>
      <c r="C236" s="13"/>
      <c r="D236" s="13"/>
      <c r="E236" s="15"/>
      <c r="F236" s="13"/>
    </row>
    <row r="237" spans="2:50" s="31" customFormat="1" x14ac:dyDescent="0.25">
      <c r="D237" s="13"/>
      <c r="E237" s="15"/>
    </row>
    <row r="238" spans="2:50" s="31" customFormat="1" x14ac:dyDescent="0.25">
      <c r="D238" s="13"/>
      <c r="E238" s="15"/>
    </row>
    <row r="239" spans="2:50" x14ac:dyDescent="0.25">
      <c r="D239" s="31"/>
      <c r="E239" s="52"/>
      <c r="AE239" s="31"/>
      <c r="AF239" s="31"/>
      <c r="AG239" s="31"/>
      <c r="AH239" s="31"/>
      <c r="AI239" s="31"/>
      <c r="AJ239" s="31"/>
      <c r="AK239" s="31"/>
      <c r="AL239" s="31"/>
      <c r="AM239" s="31"/>
      <c r="AN239" s="31"/>
      <c r="AO239" s="31"/>
      <c r="AP239" s="31"/>
      <c r="AQ239" s="31"/>
      <c r="AR239" s="31"/>
      <c r="AS239" s="31"/>
      <c r="AT239" s="31"/>
      <c r="AU239" s="31"/>
      <c r="AV239" s="31"/>
      <c r="AW239" s="31"/>
      <c r="AX239" s="31"/>
    </row>
    <row r="240" spans="2:50" x14ac:dyDescent="0.25">
      <c r="D240" s="31"/>
      <c r="E240" s="52"/>
    </row>
  </sheetData>
  <sheetProtection formatCells="0" formatColumns="0" formatRows="0"/>
  <mergeCells count="90">
    <mergeCell ref="C58:K58"/>
    <mergeCell ref="C60:D60"/>
    <mergeCell ref="F60:J60"/>
    <mergeCell ref="C54:D54"/>
    <mergeCell ref="F54:J54"/>
    <mergeCell ref="C55:D55"/>
    <mergeCell ref="F55:J55"/>
    <mergeCell ref="C56:D56"/>
    <mergeCell ref="F56:J56"/>
    <mergeCell ref="C53:D53"/>
    <mergeCell ref="F53:J53"/>
    <mergeCell ref="C45:D45"/>
    <mergeCell ref="F45:J45"/>
    <mergeCell ref="C46:D46"/>
    <mergeCell ref="F46:J46"/>
    <mergeCell ref="C48:K48"/>
    <mergeCell ref="F50:J50"/>
    <mergeCell ref="C49:D49"/>
    <mergeCell ref="C50:D50"/>
    <mergeCell ref="C51:D51"/>
    <mergeCell ref="C52:D52"/>
    <mergeCell ref="F51:J51"/>
    <mergeCell ref="F49:J49"/>
    <mergeCell ref="F52:J52"/>
    <mergeCell ref="C42:D42"/>
    <mergeCell ref="F42:J42"/>
    <mergeCell ref="C43:D43"/>
    <mergeCell ref="F43:J43"/>
    <mergeCell ref="C44:D44"/>
    <mergeCell ref="F44:J44"/>
    <mergeCell ref="C39:D39"/>
    <mergeCell ref="F39:J39"/>
    <mergeCell ref="C40:D40"/>
    <mergeCell ref="F40:J40"/>
    <mergeCell ref="C41:D41"/>
    <mergeCell ref="F41:J41"/>
    <mergeCell ref="C36:D36"/>
    <mergeCell ref="F36:J36"/>
    <mergeCell ref="C37:D37"/>
    <mergeCell ref="F37:J37"/>
    <mergeCell ref="C38:D38"/>
    <mergeCell ref="F38:J38"/>
    <mergeCell ref="C33:D33"/>
    <mergeCell ref="F33:J33"/>
    <mergeCell ref="C34:D34"/>
    <mergeCell ref="F34:J34"/>
    <mergeCell ref="C35:D35"/>
    <mergeCell ref="F35:J35"/>
    <mergeCell ref="C30:D30"/>
    <mergeCell ref="F30:J30"/>
    <mergeCell ref="C31:D31"/>
    <mergeCell ref="F31:J31"/>
    <mergeCell ref="C32:D32"/>
    <mergeCell ref="F32:J32"/>
    <mergeCell ref="C27:D27"/>
    <mergeCell ref="F27:J27"/>
    <mergeCell ref="C28:D28"/>
    <mergeCell ref="F28:J28"/>
    <mergeCell ref="C29:D29"/>
    <mergeCell ref="F29:J29"/>
    <mergeCell ref="C26:D26"/>
    <mergeCell ref="F26:J26"/>
    <mergeCell ref="C19:D19"/>
    <mergeCell ref="F19:J19"/>
    <mergeCell ref="C20:D20"/>
    <mergeCell ref="F20:J20"/>
    <mergeCell ref="C21:D21"/>
    <mergeCell ref="F21:J21"/>
    <mergeCell ref="C22:D22"/>
    <mergeCell ref="F22:J22"/>
    <mergeCell ref="C24:K24"/>
    <mergeCell ref="C25:D25"/>
    <mergeCell ref="F25:J25"/>
    <mergeCell ref="F17:J17"/>
    <mergeCell ref="F16:J16"/>
    <mergeCell ref="C17:D17"/>
    <mergeCell ref="F18:J18"/>
    <mergeCell ref="C18:D18"/>
    <mergeCell ref="C16:D16"/>
    <mergeCell ref="C9:H12"/>
    <mergeCell ref="M9:P9"/>
    <mergeCell ref="M11:P11"/>
    <mergeCell ref="B14:K14"/>
    <mergeCell ref="C15:K15"/>
    <mergeCell ref="E7:H7"/>
    <mergeCell ref="A3:AA3"/>
    <mergeCell ref="E5:H5"/>
    <mergeCell ref="M5:P5"/>
    <mergeCell ref="E6:H6"/>
    <mergeCell ref="M6:P6"/>
  </mergeCells>
  <pageMargins left="0.38" right="0.31" top="0.34" bottom="0.47" header="0.3" footer="0.3"/>
  <pageSetup scale="82"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5F3CFD349E79E43B5F63F5F7EDEABA6" ma:contentTypeVersion="13" ma:contentTypeDescription="Create a new document." ma:contentTypeScope="" ma:versionID="2d4ab7afc5d8b7a716ac258869be77de">
  <xsd:schema xmlns:xsd="http://www.w3.org/2001/XMLSchema" xmlns:xs="http://www.w3.org/2001/XMLSchema" xmlns:p="http://schemas.microsoft.com/office/2006/metadata/properties" xmlns:ns3="31854626-4533-4cc1-92c6-90d77162b9d1" xmlns:ns4="bae9b93c-a8e3-4c28-a374-e7c8265ae4c4" targetNamespace="http://schemas.microsoft.com/office/2006/metadata/properties" ma:root="true" ma:fieldsID="eff13b521a51629d92e44b003b702c3a" ns3:_="" ns4:_="">
    <xsd:import namespace="31854626-4533-4cc1-92c6-90d77162b9d1"/>
    <xsd:import namespace="bae9b93c-a8e3-4c28-a374-e7c8265ae4c4"/>
    <xsd:element name="properties">
      <xsd:complexType>
        <xsd:sequence>
          <xsd:element name="documentManagement">
            <xsd:complexType>
              <xsd:all>
                <xsd:element ref="ns3:MediaServiceMetadata" minOccurs="0"/>
                <xsd:element ref="ns3:MediaServiceFastMetadata"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4:SharedWithUsers" minOccurs="0"/>
                <xsd:element ref="ns4:SharedWithDetails" minOccurs="0"/>
                <xsd:element ref="ns4:SharingHintHash" minOccurs="0"/>
                <xsd:element ref="ns3:MediaServiceAutoKeyPoints" minOccurs="0"/>
                <xsd:element ref="ns3:MediaServiceKeyPoints"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854626-4533-4cc1-92c6-90d77162b9d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ae9b93c-a8e3-4c28-a374-e7c8265ae4c4"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SharingHintHash" ma:index="17"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Q D A A B Q S w M E F A A C A A g A C m P 9 W u 4 v n K m k A A A A 9 g A A A B I A H A B D b 2 5 m a W c v U G F j a 2 F n Z S 5 4 b W w g o h g A K K A U A A A A A A A A A A A A A A A A A A A A A A A A A A A A h Y 9 N D o I w G E S v Q r q n P 2 D U k I + y c C u J C d G 4 b W q F R i i G F s v d X H g k r y B G U X c u 5 8 1 b z N y v N 8 i G p g 4 u q r O 6 N S l i m K J A G d k e t C l T 1 L t j u E Q Z h 4 2 Q J 1 G q Y J S N T Q Z 7 S F H l 3 D k h x H u P f Y z b r i Q R p Y z s 8 3 U h K 9 U I 9 J H 1 f z n U x j p h p E I c d q 8 x P M J s F m O 2 m G M K Z I K Q a / M V o n H v s / 2 B s O p r 1 3 e K K x N u C y B T B P L + w B 9 Q S w M E F A A C A A g A C m P 9 W g / 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p j / V o o i k e 4 D g A A A B E A A A A T A B w A R m 9 y b X V s Y X M v U 2 V j d G l v b j E u b S C i G A A o o B Q A A A A A A A A A A A A A A A A A A A A A A A A A A A A r T k 0 u y c z P U w i G 0 I b W A F B L A Q I t A B Q A A g A I A A p j / V r u L 5 y p p A A A A P Y A A A A S A A A A A A A A A A A A A A A A A A A A A A B D b 2 5 m a W c v U G F j a 2 F n Z S 5 4 b W x Q S w E C L Q A U A A I A C A A K Y / 1 a D 8 r p q 6 Q A A A D p A A A A E w A A A A A A A A A A A A A A A A D w A A A A W 0 N v b n R l b n R f V H l w Z X N d L n h t b F B L A Q I t A B Q A A g A I A A p j / V o 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B 6 K D b c D 8 Q h S 4 X F b d O a n q 4 i A A A A A A I A A A A A A A N m A A D A A A A A E A A A A M u 0 q / d 0 g i k + P S u P J b D M w k M A A A A A B I A A A K A A A A A Q A A A A 7 4 / k Y e 7 u d M Y f s d 3 a / K / 4 W l A A A A C V Q s q K c S u 2 d b I O y m t 6 v F 6 L v x x i D 4 A 9 Z v C y Y z 5 d f i t e X D u 7 B G D Y M P v 6 v Z i C J g t h o f o u C Q d u v R 9 v a o d R I / 8 L w o 2 O T 6 6 9 0 9 8 8 w 3 O z X k 5 M 9 6 f H 7 x Q A A A C J C H y g C v a F + P 3 1 8 Y c U 0 8 E 2 q 3 4 1 F A = = < / D a t a M a s h u p > 
</file>

<file path=customXml/itemProps1.xml><?xml version="1.0" encoding="utf-8"?>
<ds:datastoreItem xmlns:ds="http://schemas.openxmlformats.org/officeDocument/2006/customXml" ds:itemID="{EE0A54D6-10A6-4D48-A87B-E91A42FFB40E}">
  <ds:schemaRefs>
    <ds:schemaRef ds:uri="http://schemas.microsoft.com/office/2006/documentManagement/types"/>
    <ds:schemaRef ds:uri="31854626-4533-4cc1-92c6-90d77162b9d1"/>
    <ds:schemaRef ds:uri="bae9b93c-a8e3-4c28-a374-e7c8265ae4c4"/>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428B797-ED30-43D3-88AB-CBBD702B8AC5}">
  <ds:schemaRefs>
    <ds:schemaRef ds:uri="http://schemas.microsoft.com/sharepoint/v3/contenttype/forms"/>
  </ds:schemaRefs>
</ds:datastoreItem>
</file>

<file path=customXml/itemProps3.xml><?xml version="1.0" encoding="utf-8"?>
<ds:datastoreItem xmlns:ds="http://schemas.openxmlformats.org/officeDocument/2006/customXml" ds:itemID="{4CABF00F-2AA6-4FD8-979D-80CD02F5DB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854626-4533-4cc1-92c6-90d77162b9d1"/>
    <ds:schemaRef ds:uri="bae9b93c-a8e3-4c28-a374-e7c8265ae4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1BDF1FE1-5415-4FFE-91E3-F971A45EEF3F}">
  <ds:schemaRefs>
    <ds:schemaRef ds:uri="http://schemas.microsoft.com/DataMashup"/>
  </ds:schemaRefs>
</ds:datastoreItem>
</file>

<file path=docMetadata/LabelInfo.xml><?xml version="1.0" encoding="utf-8"?>
<clbl:labelList xmlns:clbl="http://schemas.microsoft.com/office/2020/mipLabelMetadata">
  <clbl:label id="{3ded8b1b-070d-4629-82e4-c0b019f46057}" enabled="0" method="" siteId="{3ded8b1b-070d-4629-82e4-c0b019f46057}"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13</vt:i4>
      </vt:variant>
    </vt:vector>
  </HeadingPairs>
  <TitlesOfParts>
    <vt:vector size="22" baseType="lpstr">
      <vt:lpstr>Estimation</vt:lpstr>
      <vt:lpstr>Hidden_Lookups</vt:lpstr>
      <vt:lpstr>TravelTable</vt:lpstr>
      <vt:lpstr>BudgetForm</vt:lpstr>
      <vt:lpstr>IDCAddendum</vt:lpstr>
      <vt:lpstr>1-CS Summary</vt:lpstr>
      <vt:lpstr>2-CS In-Kind</vt:lpstr>
      <vt:lpstr>3-CS External</vt:lpstr>
      <vt:lpstr>Freq. Needed Info. </vt:lpstr>
      <vt:lpstr>BudgetForm!FringeBenefits</vt:lpstr>
      <vt:lpstr>'Freq. Needed Info. '!FringeBenefits</vt:lpstr>
      <vt:lpstr>BudgetForm!IndirectCosts</vt:lpstr>
      <vt:lpstr>'Freq. Needed Info. '!IndirectCosts</vt:lpstr>
      <vt:lpstr>BudgetForm!OtherDirectCosts</vt:lpstr>
      <vt:lpstr>'Freq. Needed Info. '!OtherDirectCosts</vt:lpstr>
      <vt:lpstr>'1-CS Summary'!Print_Area</vt:lpstr>
      <vt:lpstr>'2-CS In-Kind'!Print_Area</vt:lpstr>
      <vt:lpstr>'3-CS External'!Print_Area</vt:lpstr>
      <vt:lpstr>BudgetForm!Print_Area</vt:lpstr>
      <vt:lpstr>Estimation!Print_Area</vt:lpstr>
      <vt:lpstr>'Freq. Needed Info. '!Print_Area</vt:lpstr>
      <vt:lpstr>'1-CS Summary'!Print_Titles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Xi</dc:creator>
  <cp:lastModifiedBy>Melissa Dunivant</cp:lastModifiedBy>
  <cp:lastPrinted>2025-07-14T20:54:20Z</cp:lastPrinted>
  <dcterms:created xsi:type="dcterms:W3CDTF">2002-09-24T21:46:17Z</dcterms:created>
  <dcterms:modified xsi:type="dcterms:W3CDTF">2025-12-22T19:16:00Z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0x01010015F3CFD349E79E43B5F63F5F7EDEABA6</vt:lpwstr>
  </property>
</Properties>
</file>