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7D8AB258-7EA5-4046-BD5A-12170F85AE6B}" xr6:coauthVersionLast="47" xr6:coauthVersionMax="47" xr10:uidLastSave="{00000000-0000-0000-0000-000000000000}"/>
  <bookViews>
    <workbookView xWindow="-28920" yWindow="-6015" windowWidth="29040" windowHeight="15840" activeTab="1" xr2:uid="{00000000-000D-0000-FFFF-FFFF00000000}"/>
  </bookViews>
  <sheets>
    <sheet name="Visual chart" sheetId="3" r:id="rId1"/>
    <sheet name="Revenue table" sheetId="1" r:id="rId2"/>
    <sheet name="CF Summary" sheetId="2" state="hidden" r:id="rId3"/>
    <sheet name="FY23 Table A" sheetId="5" state="hidden" r:id="rId4"/>
    <sheet name="FY22 Table A" sheetId="4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2" l="1"/>
  <c r="U32" i="2"/>
  <c r="U31" i="2"/>
  <c r="U30" i="2"/>
  <c r="U29" i="2"/>
  <c r="U28" i="2"/>
  <c r="U7" i="2"/>
  <c r="U6" i="2"/>
  <c r="U5" i="2"/>
  <c r="U4" i="2"/>
  <c r="U3" i="2"/>
  <c r="T12" i="2"/>
  <c r="S24" i="2"/>
  <c r="R32" i="2" l="1"/>
  <c r="R30" i="2"/>
  <c r="R20" i="2"/>
  <c r="R18" i="2"/>
  <c r="R24" i="2" s="1"/>
  <c r="S7" i="2"/>
  <c r="S5" i="2"/>
  <c r="S12" i="2" l="1"/>
  <c r="R7" i="2"/>
  <c r="G70" i="5" l="1"/>
  <c r="F70" i="5"/>
  <c r="E70" i="5"/>
  <c r="D70" i="5"/>
  <c r="C70" i="5"/>
  <c r="B70" i="5"/>
  <c r="G65" i="5"/>
  <c r="F65" i="5"/>
  <c r="E65" i="5"/>
  <c r="D65" i="5"/>
  <c r="C65" i="5"/>
  <c r="B65" i="5"/>
  <c r="G58" i="5"/>
  <c r="G71" i="5" s="1"/>
  <c r="F58" i="5"/>
  <c r="E58" i="5"/>
  <c r="E71" i="5" s="1"/>
  <c r="D58" i="5"/>
  <c r="D71" i="5" s="1"/>
  <c r="C58" i="5"/>
  <c r="B58" i="5"/>
  <c r="E37" i="5"/>
  <c r="D37" i="5"/>
  <c r="G28" i="5"/>
  <c r="F28" i="5"/>
  <c r="E28" i="5"/>
  <c r="D28" i="5"/>
  <c r="C28" i="5"/>
  <c r="B28" i="5"/>
  <c r="G14" i="5"/>
  <c r="G37" i="5" s="1"/>
  <c r="F14" i="5"/>
  <c r="F37" i="5" s="1"/>
  <c r="E14" i="5"/>
  <c r="D14" i="5"/>
  <c r="R5" i="2" s="1"/>
  <c r="R12" i="2" s="1"/>
  <c r="C14" i="5"/>
  <c r="B14" i="5"/>
  <c r="G80" i="5" l="1"/>
  <c r="C71" i="5"/>
  <c r="D80" i="5"/>
  <c r="E80" i="5"/>
  <c r="C37" i="5"/>
  <c r="C80" i="5" s="1"/>
  <c r="Q18" i="2"/>
  <c r="B71" i="5"/>
  <c r="B37" i="5"/>
  <c r="B80" i="5" s="1"/>
  <c r="F71" i="5"/>
  <c r="F80" i="5" s="1"/>
  <c r="F91" i="4"/>
  <c r="E91" i="4"/>
  <c r="D91" i="4"/>
  <c r="C91" i="4"/>
  <c r="B91" i="4"/>
  <c r="F90" i="4"/>
  <c r="E90" i="4"/>
  <c r="D90" i="4"/>
  <c r="C90" i="4"/>
  <c r="B9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69" i="4"/>
  <c r="E69" i="4"/>
  <c r="D69" i="4"/>
  <c r="C69" i="4"/>
  <c r="B69" i="4"/>
  <c r="F68" i="4"/>
  <c r="E68" i="4"/>
  <c r="D68" i="4"/>
  <c r="C68" i="4"/>
  <c r="B68" i="4"/>
  <c r="F64" i="4"/>
  <c r="E64" i="4"/>
  <c r="D64" i="4"/>
  <c r="C64" i="4"/>
  <c r="B64" i="4"/>
  <c r="F63" i="4"/>
  <c r="E63" i="4"/>
  <c r="D63" i="4"/>
  <c r="C63" i="4"/>
  <c r="B63" i="4"/>
  <c r="F62" i="4"/>
  <c r="E62" i="4"/>
  <c r="D62" i="4"/>
  <c r="C62" i="4"/>
  <c r="B62" i="4"/>
  <c r="C61" i="4"/>
  <c r="B61" i="4"/>
  <c r="F57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F53" i="4"/>
  <c r="E53" i="4"/>
  <c r="D53" i="4"/>
  <c r="E52" i="4"/>
  <c r="D52" i="4"/>
  <c r="E51" i="4"/>
  <c r="D51" i="4"/>
  <c r="C51" i="4"/>
  <c r="B51" i="4"/>
  <c r="F49" i="4"/>
  <c r="E49" i="4"/>
  <c r="D49" i="4"/>
  <c r="C49" i="4"/>
  <c r="B49" i="4"/>
  <c r="F48" i="4"/>
  <c r="E48" i="4"/>
  <c r="D48" i="4"/>
  <c r="C48" i="4"/>
  <c r="B48" i="4"/>
  <c r="F47" i="4"/>
  <c r="E47" i="4"/>
  <c r="D47" i="4"/>
  <c r="C47" i="4"/>
  <c r="B47" i="4"/>
  <c r="F46" i="4"/>
  <c r="E46" i="4"/>
  <c r="D46" i="4"/>
  <c r="C46" i="4"/>
  <c r="B46" i="4"/>
  <c r="F45" i="4"/>
  <c r="E45" i="4"/>
  <c r="D45" i="4"/>
  <c r="C45" i="4"/>
  <c r="B45" i="4"/>
  <c r="F44" i="4"/>
  <c r="E44" i="4"/>
  <c r="D44" i="4"/>
  <c r="C44" i="4"/>
  <c r="B44" i="4"/>
  <c r="F43" i="4"/>
  <c r="E43" i="4"/>
  <c r="D43" i="4"/>
  <c r="C43" i="4"/>
  <c r="B43" i="4"/>
  <c r="F42" i="4"/>
  <c r="E42" i="4"/>
  <c r="D42" i="4"/>
  <c r="C42" i="4"/>
  <c r="B42" i="4"/>
  <c r="F41" i="4"/>
  <c r="E41" i="4"/>
  <c r="D41" i="4"/>
  <c r="C41" i="4"/>
  <c r="B41" i="4"/>
  <c r="F36" i="4"/>
  <c r="E36" i="4"/>
  <c r="D36" i="4"/>
  <c r="C36" i="4"/>
  <c r="B36" i="4"/>
  <c r="C35" i="4"/>
  <c r="B35" i="4"/>
  <c r="F34" i="4"/>
  <c r="E34" i="4"/>
  <c r="D34" i="4"/>
  <c r="C34" i="4"/>
  <c r="B34" i="4"/>
  <c r="C33" i="4"/>
  <c r="B33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F27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F23" i="4"/>
  <c r="E23" i="4"/>
  <c r="D23" i="4"/>
  <c r="E22" i="4"/>
  <c r="D22" i="4"/>
  <c r="E21" i="4"/>
  <c r="D21" i="4"/>
  <c r="C21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C16" i="4"/>
  <c r="B16" i="4"/>
  <c r="F15" i="4"/>
  <c r="E15" i="4"/>
  <c r="D15" i="4"/>
  <c r="C15" i="4"/>
  <c r="B15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G91" i="4" l="1"/>
  <c r="B92" i="4"/>
  <c r="Q24" i="2"/>
  <c r="G23" i="4"/>
  <c r="G49" i="4"/>
  <c r="G53" i="4"/>
  <c r="G75" i="4" s="1"/>
  <c r="G55" i="4"/>
  <c r="F70" i="4"/>
  <c r="G68" i="4"/>
  <c r="G52" i="4"/>
  <c r="C92" i="4"/>
  <c r="G41" i="4"/>
  <c r="G43" i="4"/>
  <c r="G18" i="4"/>
  <c r="G22" i="4"/>
  <c r="C14" i="4"/>
  <c r="C85" i="4" s="1"/>
  <c r="G27" i="4"/>
  <c r="G34" i="4"/>
  <c r="I11" i="4"/>
  <c r="D14" i="4"/>
  <c r="G24" i="4"/>
  <c r="I10" i="4"/>
  <c r="G29" i="4"/>
  <c r="G31" i="4"/>
  <c r="G36" i="4"/>
  <c r="G46" i="4"/>
  <c r="E14" i="4"/>
  <c r="E85" i="4" s="1"/>
  <c r="D92" i="4"/>
  <c r="D28" i="4"/>
  <c r="D37" i="4" s="1"/>
  <c r="G17" i="4"/>
  <c r="G51" i="4"/>
  <c r="G54" i="4"/>
  <c r="E92" i="4"/>
  <c r="G42" i="4"/>
  <c r="E70" i="4"/>
  <c r="G10" i="4"/>
  <c r="D85" i="4"/>
  <c r="G13" i="4"/>
  <c r="G25" i="4"/>
  <c r="F28" i="4"/>
  <c r="G19" i="4"/>
  <c r="G48" i="4"/>
  <c r="F65" i="4"/>
  <c r="G69" i="4"/>
  <c r="G57" i="4"/>
  <c r="G64" i="4"/>
  <c r="G9" i="4"/>
  <c r="G12" i="4"/>
  <c r="G30" i="4"/>
  <c r="G45" i="4"/>
  <c r="G56" i="4"/>
  <c r="D65" i="4"/>
  <c r="B70" i="4"/>
  <c r="G15" i="4"/>
  <c r="B65" i="4"/>
  <c r="G11" i="4"/>
  <c r="G21" i="4"/>
  <c r="G26" i="4"/>
  <c r="D58" i="4"/>
  <c r="G44" i="4"/>
  <c r="G47" i="4"/>
  <c r="C65" i="4"/>
  <c r="B28" i="4"/>
  <c r="B58" i="4"/>
  <c r="G62" i="4"/>
  <c r="C70" i="4"/>
  <c r="B14" i="4"/>
  <c r="B85" i="4" s="1"/>
  <c r="C28" i="4"/>
  <c r="G20" i="4"/>
  <c r="F58" i="4"/>
  <c r="C86" i="4"/>
  <c r="E65" i="4"/>
  <c r="F92" i="4"/>
  <c r="E28" i="4"/>
  <c r="B86" i="4"/>
  <c r="G90" i="4"/>
  <c r="G92" i="4" s="1"/>
  <c r="F14" i="4"/>
  <c r="I13" i="4"/>
  <c r="D70" i="4"/>
  <c r="D86" i="4"/>
  <c r="I9" i="4"/>
  <c r="C58" i="4"/>
  <c r="E86" i="4"/>
  <c r="E58" i="4"/>
  <c r="G63" i="4"/>
  <c r="F86" i="4"/>
  <c r="G74" i="4" l="1"/>
  <c r="G70" i="4"/>
  <c r="F71" i="4"/>
  <c r="C37" i="4"/>
  <c r="G77" i="4"/>
  <c r="G14" i="4"/>
  <c r="G85" i="4" s="1"/>
  <c r="G65" i="4"/>
  <c r="G79" i="4"/>
  <c r="D87" i="4"/>
  <c r="G73" i="4"/>
  <c r="G76" i="4"/>
  <c r="E71" i="4"/>
  <c r="E87" i="4"/>
  <c r="C71" i="4"/>
  <c r="C87" i="4"/>
  <c r="E37" i="4"/>
  <c r="I12" i="4" s="1"/>
  <c r="G86" i="4"/>
  <c r="I24" i="4"/>
  <c r="B37" i="4"/>
  <c r="G78" i="4"/>
  <c r="G58" i="4"/>
  <c r="B71" i="4"/>
  <c r="D71" i="4"/>
  <c r="D80" i="4" s="1"/>
  <c r="G28" i="4"/>
  <c r="G37" i="4" s="1"/>
  <c r="B87" i="4"/>
  <c r="F37" i="4"/>
  <c r="F85" i="4"/>
  <c r="F87" i="4" s="1"/>
  <c r="F80" i="4" l="1"/>
  <c r="C80" i="4"/>
  <c r="E80" i="4"/>
  <c r="G71" i="4"/>
  <c r="G80" i="4" s="1"/>
  <c r="G87" i="4"/>
  <c r="B80" i="4"/>
  <c r="U34" i="2"/>
  <c r="O20" i="2" l="1"/>
  <c r="D120" i="2" l="1"/>
  <c r="C120" i="2"/>
  <c r="B120" i="2"/>
</calcChain>
</file>

<file path=xl/sharedStrings.xml><?xml version="1.0" encoding="utf-8"?>
<sst xmlns="http://schemas.openxmlformats.org/spreadsheetml/2006/main" count="309" uniqueCount="120">
  <si>
    <t>Percent distribution by category</t>
  </si>
  <si>
    <t>FY07</t>
  </si>
  <si>
    <t>FY08</t>
  </si>
  <si>
    <t>FY09</t>
  </si>
  <si>
    <t>FY10</t>
  </si>
  <si>
    <t>FY11</t>
  </si>
  <si>
    <t>FY12</t>
  </si>
  <si>
    <t>Fee for Service</t>
  </si>
  <si>
    <t>College Opportunity Fund</t>
  </si>
  <si>
    <t>Student Tuition and Fees</t>
  </si>
  <si>
    <t>Federal Grants &amp; Contracts</t>
  </si>
  <si>
    <t>Other Revenue</t>
  </si>
  <si>
    <t>American Recovery &amp; Reinvestment</t>
  </si>
  <si>
    <t>Total Current Funds Revenue ($mil)</t>
  </si>
  <si>
    <t>Total</t>
  </si>
  <si>
    <t>FY13</t>
  </si>
  <si>
    <t>FY14</t>
  </si>
  <si>
    <t>FY15</t>
  </si>
  <si>
    <t>FY16</t>
  </si>
  <si>
    <t>FY17</t>
  </si>
  <si>
    <t>Revenue Category</t>
  </si>
  <si>
    <t>FY18</t>
  </si>
  <si>
    <t>-</t>
  </si>
  <si>
    <t>FY19</t>
  </si>
  <si>
    <t>FY20</t>
  </si>
  <si>
    <t>FY21</t>
  </si>
  <si>
    <t>Resident Tuition - COF</t>
  </si>
  <si>
    <t>TOTAL REVENUES</t>
  </si>
  <si>
    <t>FY22</t>
  </si>
  <si>
    <t>Subtotal - Student Tuition and Fees</t>
  </si>
  <si>
    <t>CARES Act/HEERF</t>
  </si>
  <si>
    <t>DRAFT Table A:  FY 2021-22 Current Funds Budget</t>
  </si>
  <si>
    <t>University of Colorado</t>
  </si>
  <si>
    <t>Boulder Campus</t>
  </si>
  <si>
    <t>budget</t>
  </si>
  <si>
    <t>projection</t>
  </si>
  <si>
    <t>new budget</t>
  </si>
  <si>
    <t>Description</t>
  </si>
  <si>
    <t>FY 2020-21</t>
  </si>
  <si>
    <t>FY 2021-22</t>
  </si>
  <si>
    <t xml:space="preserve">Original Total Current Funds </t>
  </si>
  <si>
    <t xml:space="preserve">June Estimate Total Current Funds </t>
  </si>
  <si>
    <t>Education &amp; General Fund</t>
  </si>
  <si>
    <t>Auxiliary &amp; 
Self-Funded Activities</t>
  </si>
  <si>
    <t>Restricted Fund</t>
  </si>
  <si>
    <t>Total Current Funds Budget</t>
  </si>
  <si>
    <t>Revenues</t>
  </si>
  <si>
    <t>Resident Tuition - Student Share</t>
  </si>
  <si>
    <t>Non-Resident Tuition</t>
  </si>
  <si>
    <t>Other tuition - Continuing Education</t>
  </si>
  <si>
    <t>Student fees</t>
  </si>
  <si>
    <t>Investment and Interest Income</t>
  </si>
  <si>
    <t>Grants and Contracts</t>
  </si>
  <si>
    <t>State and Local Grants &amp; Contracts</t>
  </si>
  <si>
    <t>Tobacco Funding</t>
  </si>
  <si>
    <t xml:space="preserve">Fee for Service Contract </t>
  </si>
  <si>
    <t>CARES Act - HEERF I (Student Share)</t>
  </si>
  <si>
    <t>CARES Act - HEERF I (Institutional Share)</t>
  </si>
  <si>
    <t>CRRSSA - HEERF II (Student Share)</t>
  </si>
  <si>
    <t>CRRSSA - HEERF II (Institutional Share)</t>
  </si>
  <si>
    <t>ARP - HEERF III (Student Share)</t>
  </si>
  <si>
    <t>ARP - HEERF III (Institutional Share)</t>
  </si>
  <si>
    <r>
      <t xml:space="preserve">CARES Act - Coronavirus Relief Fund </t>
    </r>
    <r>
      <rPr>
        <sz val="10"/>
        <rFont val="Arial"/>
      </rPr>
      <t>&lt;5&gt;</t>
    </r>
  </si>
  <si>
    <t>Subtotal - Grants &amp; Contracts</t>
  </si>
  <si>
    <t>Private/other gifts, grants and contracts</t>
  </si>
  <si>
    <t>Sales &amp; Services of educational departments</t>
  </si>
  <si>
    <t>Auxiliary Operating Revenues</t>
  </si>
  <si>
    <t>Health Services</t>
  </si>
  <si>
    <t>Other Revenues:</t>
  </si>
  <si>
    <t>Indirect Cost Reimbursement</t>
  </si>
  <si>
    <t>Denver AHEC Library Funding</t>
  </si>
  <si>
    <t>Other Sources</t>
  </si>
  <si>
    <t>Expenditures</t>
  </si>
  <si>
    <t>Educational &amp; General: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</si>
  <si>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</si>
  <si>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</si>
  <si>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</si>
  <si>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</si>
  <si>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</si>
  <si>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</si>
  <si>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Operations of Plant</t>
  </si>
  <si>
    <t>Scholarships &amp; Fellowships</t>
  </si>
  <si>
    <t>Auxiliary operating expenditures</t>
  </si>
  <si>
    <t>TOTAL EXPENDITURES</t>
  </si>
  <si>
    <t>Transfers Between Funds</t>
  </si>
  <si>
    <t>Mandatory Transfers</t>
  </si>
  <si>
    <t>Principal and interest</t>
  </si>
  <si>
    <t>Renewals &amp; replacements</t>
  </si>
  <si>
    <t>Matching funds/Other</t>
  </si>
  <si>
    <t>Subtotal -- Mandatory Transfers</t>
  </si>
  <si>
    <t>Voluntary Transfers &amp; Other</t>
  </si>
  <si>
    <t>Restricted receipts to be expended in future years</t>
  </si>
  <si>
    <t>Other</t>
  </si>
  <si>
    <t>Subtotal Voluntary Transfers</t>
  </si>
  <si>
    <t>TOTAL EXPENDITURES &amp; TRANSFERS</t>
  </si>
  <si>
    <t xml:space="preserve">Net Increase (Decrease) in Fund Balances by federal fund source </t>
  </si>
  <si>
    <t xml:space="preserve">   CARES Act - Coronavirus Relief Fund </t>
  </si>
  <si>
    <t xml:space="preserve">Net Increase (Decrease) in Fund Balances (Total) </t>
  </si>
  <si>
    <t>Need to develop footnotes on all of the federal fund amounts</t>
  </si>
  <si>
    <t>Withour CARES/HEERF</t>
  </si>
  <si>
    <t>Expenses</t>
  </si>
  <si>
    <t>Check</t>
  </si>
  <si>
    <t>Sheet Check</t>
  </si>
  <si>
    <r>
      <t>Original Budget</t>
    </r>
    <r>
      <rPr>
        <b/>
        <sz val="10"/>
        <color theme="8"/>
        <rFont val="Arial"/>
        <family val="2"/>
      </rPr>
      <t xml:space="preserve"> (source: Table A, E&amp;G, Aux, Restricted)</t>
    </r>
  </si>
  <si>
    <r>
      <t xml:space="preserve">Revised Budget </t>
    </r>
    <r>
      <rPr>
        <b/>
        <sz val="10"/>
        <color theme="8"/>
        <rFont val="Arial"/>
        <family val="2"/>
      </rPr>
      <t>(source: Table A June Estimate Total Current Funds)</t>
    </r>
  </si>
  <si>
    <r>
      <t xml:space="preserve">For Web - Historical Revised, Current Year Estimate </t>
    </r>
    <r>
      <rPr>
        <b/>
        <sz val="10"/>
        <color theme="8"/>
        <rFont val="Arial"/>
        <family val="2"/>
      </rPr>
      <t>(historical revised-copy from rows 16-24 &amp; current year estimate-copy from rows 3-12)</t>
    </r>
  </si>
  <si>
    <t>ARRA</t>
  </si>
  <si>
    <t>DRAFT Table A:  FY 2022-23 Current Funds Budget</t>
  </si>
  <si>
    <t>FY 2022-23</t>
  </si>
  <si>
    <t>FY23</t>
  </si>
  <si>
    <t>Use percentage for last FY data in revenue table</t>
  </si>
  <si>
    <t>Use percntage for this FY data in Revenue Table</t>
  </si>
  <si>
    <t>FY24</t>
  </si>
  <si>
    <t>FY25 Estimate</t>
  </si>
  <si>
    <t>FY25 as a %</t>
  </si>
  <si>
    <t>FY24 as %</t>
  </si>
  <si>
    <t>FY 25 Estimate</t>
  </si>
  <si>
    <t>CU Boulder Current Funds Revenue Breakout FY07-25</t>
  </si>
  <si>
    <t xml:space="preserve">Questions? </t>
  </si>
  <si>
    <t>BFP@colorado.edu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</si>
</sst>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,,"/>
    <numFmt numFmtId="165" formatCode="&quot;$&quot;#,##0.0"/>
    <numFmt numFmtId="166" formatCode="&quot;$&quot;#,##0.0_);[Red]\(&quot;$&quot;#,##0.0\)"/>
    <numFmt numFmtId="167" formatCode="&quot;$&quot;#,##0,,"/>
    <numFmt numFmtId="168" formatCode="&quot;$&quot;#,##0.00"/>
    <numFmt numFmtId="169" formatCode="[$$-409]#,##0_);[Red]\([$$-409]#,##0\)"/>
    <numFmt numFmtId="170" formatCode="&quot;$&quot;#,##0"/>
    <numFmt numFmtId="171" formatCode="[$$-409]#,##0"/>
    <numFmt numFmtId="172" formatCode="_(&quot;$&quot;* #,##0_);_(&quot;$&quot;* \(#,##0\);_(&quot;$&quot;* &quot;-&quot;??_);_(@_)"/>
    <numFmt numFmtId="173" formatCode="[$$-409]#,##0_);\([$$-409]#,##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8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5B3D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3" fillId="24" borderId="8" applyNumberFormat="0" applyFon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0" fontId="0" fillId="0" borderId="0" xfId="0" applyNumberFormat="1" applyAlignment="1">
      <alignment horizontal="center"/>
    </xf>
    <xf numFmtId="0" fontId="4" fillId="0" borderId="0" xfId="0" applyFon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67" fontId="0" fillId="0" borderId="0" xfId="0" applyNumberFormat="1"/>
    <xf numFmtId="0" fontId="3" fillId="0" borderId="0" xfId="0" applyFont="1"/>
    <xf numFmtId="10" fontId="0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0" fontId="0" fillId="25" borderId="0" xfId="0" applyFill="1"/>
    <xf numFmtId="0" fontId="4" fillId="25" borderId="0" xfId="0" applyFont="1" applyFill="1"/>
    <xf numFmtId="10" fontId="0" fillId="0" borderId="0" xfId="1" applyNumberFormat="1" applyFont="1"/>
    <xf numFmtId="10" fontId="0" fillId="0" borderId="0" xfId="0" applyNumberFormat="1"/>
    <xf numFmtId="0" fontId="4" fillId="0" borderId="11" xfId="0" applyFont="1" applyBorder="1"/>
    <xf numFmtId="10" fontId="0" fillId="0" borderId="12" xfId="1" applyNumberFormat="1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0" fontId="0" fillId="0" borderId="12" xfId="1" applyNumberFormat="1" applyFont="1" applyBorder="1" applyAlignment="1" applyProtection="1">
      <alignment horizontal="center"/>
    </xf>
    <xf numFmtId="10" fontId="3" fillId="0" borderId="12" xfId="1" applyNumberFormat="1" applyFont="1" applyBorder="1" applyAlignment="1">
      <alignment horizontal="center"/>
    </xf>
    <xf numFmtId="10" fontId="3" fillId="0" borderId="12" xfId="1" applyNumberFormat="1" applyFont="1" applyBorder="1" applyAlignment="1" applyProtection="1">
      <alignment horizontal="center"/>
    </xf>
    <xf numFmtId="168" fontId="0" fillId="0" borderId="0" xfId="0" applyNumberFormat="1"/>
    <xf numFmtId="0" fontId="24" fillId="0" borderId="0" xfId="60" applyFont="1" applyAlignment="1">
      <alignment horizontal="centerContinuous"/>
    </xf>
    <xf numFmtId="0" fontId="1" fillId="0" borderId="0" xfId="60"/>
    <xf numFmtId="0" fontId="25" fillId="0" borderId="0" xfId="60" applyFont="1" applyAlignment="1">
      <alignment horizontal="centerContinuous"/>
    </xf>
    <xf numFmtId="169" fontId="25" fillId="0" borderId="0" xfId="60" applyNumberFormat="1" applyFont="1" applyAlignment="1">
      <alignment horizontal="center"/>
    </xf>
    <xf numFmtId="169" fontId="26" fillId="0" borderId="0" xfId="60" applyNumberFormat="1" applyFont="1" applyAlignment="1">
      <alignment horizontal="center"/>
    </xf>
    <xf numFmtId="169" fontId="24" fillId="2" borderId="25" xfId="60" applyNumberFormat="1" applyFont="1" applyFill="1" applyBorder="1" applyAlignment="1">
      <alignment horizontal="center" wrapText="1"/>
    </xf>
    <xf numFmtId="169" fontId="24" fillId="2" borderId="21" xfId="60" applyNumberFormat="1" applyFont="1" applyFill="1" applyBorder="1" applyAlignment="1">
      <alignment horizontal="center" wrapText="1"/>
    </xf>
    <xf numFmtId="169" fontId="24" fillId="30" borderId="23" xfId="60" applyNumberFormat="1" applyFont="1" applyFill="1" applyBorder="1" applyAlignment="1">
      <alignment horizontal="center" wrapText="1"/>
    </xf>
    <xf numFmtId="169" fontId="24" fillId="2" borderId="23" xfId="60" applyNumberFormat="1" applyFont="1" applyFill="1" applyBorder="1" applyAlignment="1">
      <alignment horizontal="center" wrapText="1"/>
    </xf>
    <xf numFmtId="169" fontId="24" fillId="0" borderId="26" xfId="60" applyNumberFormat="1" applyFont="1" applyBorder="1"/>
    <xf numFmtId="169" fontId="24" fillId="0" borderId="27" xfId="60" applyNumberFormat="1" applyFont="1" applyBorder="1"/>
    <xf numFmtId="169" fontId="27" fillId="0" borderId="26" xfId="60" applyNumberFormat="1" applyFont="1" applyBorder="1" applyAlignment="1">
      <alignment wrapText="1"/>
    </xf>
    <xf numFmtId="169" fontId="27" fillId="0" borderId="0" xfId="60" applyNumberFormat="1" applyFont="1" applyAlignment="1">
      <alignment wrapText="1"/>
    </xf>
    <xf numFmtId="169" fontId="27" fillId="0" borderId="28" xfId="60" applyNumberFormat="1" applyFont="1" applyBorder="1" applyAlignment="1">
      <alignment wrapText="1"/>
    </xf>
    <xf numFmtId="169" fontId="27" fillId="0" borderId="26" xfId="60" applyNumberFormat="1" applyFont="1" applyBorder="1"/>
    <xf numFmtId="170" fontId="27" fillId="0" borderId="27" xfId="60" applyNumberFormat="1" applyFont="1" applyBorder="1"/>
    <xf numFmtId="170" fontId="27" fillId="0" borderId="27" xfId="60" applyNumberFormat="1" applyFont="1" applyBorder="1" applyAlignment="1">
      <alignment wrapText="1"/>
    </xf>
    <xf numFmtId="170" fontId="27" fillId="0" borderId="26" xfId="60" applyNumberFormat="1" applyFont="1" applyBorder="1" applyAlignment="1">
      <alignment wrapText="1"/>
    </xf>
    <xf numFmtId="170" fontId="27" fillId="0" borderId="0" xfId="60" applyNumberFormat="1" applyFont="1" applyAlignment="1">
      <alignment wrapText="1"/>
    </xf>
    <xf numFmtId="169" fontId="27" fillId="26" borderId="26" xfId="60" applyNumberFormat="1" applyFont="1" applyFill="1" applyBorder="1" applyAlignment="1">
      <alignment horizontal="left" indent="1"/>
    </xf>
    <xf numFmtId="170" fontId="27" fillId="26" borderId="26" xfId="60" applyNumberFormat="1" applyFont="1" applyFill="1" applyBorder="1" applyAlignment="1">
      <alignment wrapText="1"/>
    </xf>
    <xf numFmtId="170" fontId="27" fillId="0" borderId="29" xfId="60" applyNumberFormat="1" applyFont="1" applyBorder="1" applyAlignment="1">
      <alignment wrapText="1"/>
    </xf>
    <xf numFmtId="170" fontId="1" fillId="26" borderId="0" xfId="60" applyNumberFormat="1" applyFill="1"/>
    <xf numFmtId="169" fontId="27" fillId="27" borderId="26" xfId="60" applyNumberFormat="1" applyFont="1" applyFill="1" applyBorder="1" applyAlignment="1">
      <alignment horizontal="left" indent="1"/>
    </xf>
    <xf numFmtId="170" fontId="27" fillId="27" borderId="26" xfId="60" applyNumberFormat="1" applyFont="1" applyFill="1" applyBorder="1" applyAlignment="1">
      <alignment wrapText="1"/>
    </xf>
    <xf numFmtId="170" fontId="1" fillId="27" borderId="0" xfId="60" applyNumberFormat="1" applyFill="1"/>
    <xf numFmtId="170" fontId="1" fillId="0" borderId="0" xfId="60" applyNumberFormat="1"/>
    <xf numFmtId="170" fontId="1" fillId="28" borderId="0" xfId="60" applyNumberFormat="1" applyFill="1"/>
    <xf numFmtId="169" fontId="27" fillId="0" borderId="26" xfId="60" applyNumberFormat="1" applyFont="1" applyBorder="1" applyAlignment="1">
      <alignment horizontal="left" indent="1"/>
    </xf>
    <xf numFmtId="170" fontId="1" fillId="30" borderId="0" xfId="60" applyNumberFormat="1" applyFill="1"/>
    <xf numFmtId="169" fontId="27" fillId="27" borderId="30" xfId="60" applyNumberFormat="1" applyFont="1" applyFill="1" applyBorder="1" applyAlignment="1">
      <alignment horizontal="left" indent="1"/>
    </xf>
    <xf numFmtId="170" fontId="1" fillId="31" borderId="0" xfId="60" applyNumberFormat="1" applyFill="1"/>
    <xf numFmtId="169" fontId="24" fillId="0" borderId="31" xfId="60" applyNumberFormat="1" applyFont="1" applyBorder="1" applyAlignment="1">
      <alignment horizontal="right"/>
    </xf>
    <xf numFmtId="170" fontId="24" fillId="0" borderId="32" xfId="60" applyNumberFormat="1" applyFont="1" applyBorder="1"/>
    <xf numFmtId="170" fontId="24" fillId="0" borderId="31" xfId="60" applyNumberFormat="1" applyFont="1" applyBorder="1"/>
    <xf numFmtId="170" fontId="24" fillId="0" borderId="33" xfId="60" applyNumberFormat="1" applyFont="1" applyBorder="1"/>
    <xf numFmtId="170" fontId="24" fillId="0" borderId="34" xfId="60" applyNumberFormat="1" applyFont="1" applyBorder="1"/>
    <xf numFmtId="169" fontId="27" fillId="31" borderId="26" xfId="60" applyNumberFormat="1" applyFont="1" applyFill="1" applyBorder="1"/>
    <xf numFmtId="170" fontId="27" fillId="31" borderId="0" xfId="60" applyNumberFormat="1" applyFont="1" applyFill="1" applyAlignment="1">
      <alignment wrapText="1"/>
    </xf>
    <xf numFmtId="169" fontId="27" fillId="28" borderId="26" xfId="60" applyNumberFormat="1" applyFont="1" applyFill="1" applyBorder="1" applyAlignment="1">
      <alignment horizontal="left" indent="1"/>
    </xf>
    <xf numFmtId="170" fontId="27" fillId="28" borderId="0" xfId="60" applyNumberFormat="1" applyFont="1" applyFill="1" applyAlignment="1">
      <alignment wrapText="1"/>
    </xf>
    <xf numFmtId="169" fontId="27" fillId="26" borderId="27" xfId="60" applyNumberFormat="1" applyFont="1" applyFill="1" applyBorder="1" applyAlignment="1">
      <alignment horizontal="left" indent="1"/>
    </xf>
    <xf numFmtId="169" fontId="28" fillId="32" borderId="27" xfId="61" applyNumberFormat="1" applyFont="1" applyFill="1" applyBorder="1" applyAlignment="1">
      <alignment horizontal="left" indent="1"/>
    </xf>
    <xf numFmtId="170" fontId="27" fillId="32" borderId="27" xfId="60" applyNumberFormat="1" applyFont="1" applyFill="1" applyBorder="1"/>
    <xf numFmtId="170" fontId="27" fillId="32" borderId="26" xfId="60" applyNumberFormat="1" applyFont="1" applyFill="1" applyBorder="1" applyAlignment="1">
      <alignment wrapText="1"/>
    </xf>
    <xf numFmtId="170" fontId="27" fillId="32" borderId="29" xfId="60" applyNumberFormat="1" applyFont="1" applyFill="1" applyBorder="1" applyAlignment="1">
      <alignment wrapText="1"/>
    </xf>
    <xf numFmtId="170" fontId="27" fillId="32" borderId="0" xfId="60" applyNumberFormat="1" applyFont="1" applyFill="1" applyAlignment="1">
      <alignment wrapText="1"/>
    </xf>
    <xf numFmtId="170" fontId="27" fillId="32" borderId="27" xfId="60" applyNumberFormat="1" applyFont="1" applyFill="1" applyBorder="1" applyAlignment="1">
      <alignment wrapText="1"/>
    </xf>
    <xf numFmtId="169" fontId="29" fillId="32" borderId="27" xfId="61" applyNumberFormat="1" applyFont="1" applyFill="1" applyBorder="1" applyAlignment="1">
      <alignment horizontal="left" indent="1"/>
    </xf>
    <xf numFmtId="0" fontId="22" fillId="0" borderId="0" xfId="60" applyFont="1"/>
    <xf numFmtId="170" fontId="27" fillId="28" borderId="26" xfId="60" applyNumberFormat="1" applyFont="1" applyFill="1" applyBorder="1" applyAlignment="1">
      <alignment wrapText="1"/>
    </xf>
    <xf numFmtId="169" fontId="27" fillId="27" borderId="35" xfId="60" applyNumberFormat="1" applyFont="1" applyFill="1" applyBorder="1" applyAlignment="1">
      <alignment horizontal="left" indent="1"/>
    </xf>
    <xf numFmtId="169" fontId="24" fillId="0" borderId="36" xfId="60" applyNumberFormat="1" applyFont="1" applyBorder="1"/>
    <xf numFmtId="170" fontId="24" fillId="0" borderId="37" xfId="60" applyNumberFormat="1" applyFont="1" applyBorder="1"/>
    <xf numFmtId="170" fontId="24" fillId="0" borderId="36" xfId="60" applyNumberFormat="1" applyFont="1" applyBorder="1"/>
    <xf numFmtId="170" fontId="24" fillId="30" borderId="38" xfId="60" applyNumberFormat="1" applyFont="1" applyFill="1" applyBorder="1"/>
    <xf numFmtId="170" fontId="24" fillId="0" borderId="39" xfId="60" applyNumberFormat="1" applyFont="1" applyBorder="1"/>
    <xf numFmtId="170" fontId="24" fillId="29" borderId="37" xfId="60" applyNumberFormat="1" applyFont="1" applyFill="1" applyBorder="1"/>
    <xf numFmtId="170" fontId="24" fillId="0" borderId="27" xfId="60" applyNumberFormat="1" applyFont="1" applyBorder="1"/>
    <xf numFmtId="169" fontId="28" fillId="33" borderId="27" xfId="61" applyNumberFormat="1" applyFont="1" applyFill="1" applyBorder="1" applyAlignment="1">
      <alignment horizontal="left" indent="1"/>
    </xf>
    <xf numFmtId="170" fontId="27" fillId="33" borderId="27" xfId="60" applyNumberFormat="1" applyFont="1" applyFill="1" applyBorder="1"/>
    <xf numFmtId="170" fontId="27" fillId="33" borderId="26" xfId="60" applyNumberFormat="1" applyFont="1" applyFill="1" applyBorder="1" applyAlignment="1">
      <alignment wrapText="1"/>
    </xf>
    <xf numFmtId="170" fontId="27" fillId="33" borderId="29" xfId="60" applyNumberFormat="1" applyFont="1" applyFill="1" applyBorder="1" applyAlignment="1">
      <alignment wrapText="1"/>
    </xf>
    <xf numFmtId="170" fontId="27" fillId="33" borderId="0" xfId="60" applyNumberFormat="1" applyFont="1" applyFill="1" applyAlignment="1">
      <alignment wrapText="1"/>
    </xf>
    <xf numFmtId="170" fontId="27" fillId="33" borderId="27" xfId="60" applyNumberFormat="1" applyFont="1" applyFill="1" applyBorder="1" applyAlignment="1">
      <alignment wrapText="1"/>
    </xf>
    <xf numFmtId="170" fontId="24" fillId="0" borderId="38" xfId="60" applyNumberFormat="1" applyFont="1" applyBorder="1"/>
    <xf numFmtId="169" fontId="27" fillId="0" borderId="30" xfId="60" applyNumberFormat="1" applyFont="1" applyBorder="1" applyAlignment="1">
      <alignment horizontal="left" indent="1"/>
    </xf>
    <xf numFmtId="169" fontId="27" fillId="0" borderId="31" xfId="60" applyNumberFormat="1" applyFont="1" applyBorder="1" applyAlignment="1">
      <alignment horizontal="right"/>
    </xf>
    <xf numFmtId="169" fontId="27" fillId="0" borderId="40" xfId="60" applyNumberFormat="1" applyFont="1" applyBorder="1" applyAlignment="1">
      <alignment horizontal="right"/>
    </xf>
    <xf numFmtId="170" fontId="24" fillId="0" borderId="41" xfId="60" applyNumberFormat="1" applyFont="1" applyBorder="1"/>
    <xf numFmtId="170" fontId="24" fillId="0" borderId="40" xfId="60" applyNumberFormat="1" applyFont="1" applyBorder="1"/>
    <xf numFmtId="170" fontId="24" fillId="0" borderId="42" xfId="60" applyNumberFormat="1" applyFont="1" applyBorder="1"/>
    <xf numFmtId="170" fontId="24" fillId="0" borderId="43" xfId="60" applyNumberFormat="1" applyFont="1" applyBorder="1"/>
    <xf numFmtId="169" fontId="24" fillId="0" borderId="30" xfId="60" applyNumberFormat="1" applyFont="1" applyBorder="1"/>
    <xf numFmtId="170" fontId="24" fillId="0" borderId="44" xfId="60" applyNumberFormat="1" applyFont="1" applyBorder="1"/>
    <xf numFmtId="170" fontId="24" fillId="0" borderId="30" xfId="60" applyNumberFormat="1" applyFont="1" applyBorder="1"/>
    <xf numFmtId="170" fontId="24" fillId="0" borderId="45" xfId="60" applyNumberFormat="1" applyFont="1" applyBorder="1"/>
    <xf numFmtId="170" fontId="24" fillId="0" borderId="19" xfId="60" applyNumberFormat="1" applyFont="1" applyBorder="1"/>
    <xf numFmtId="169" fontId="30" fillId="33" borderId="26" xfId="60" applyNumberFormat="1" applyFont="1" applyFill="1" applyBorder="1" applyAlignment="1">
      <alignment horizontal="center"/>
    </xf>
    <xf numFmtId="170" fontId="24" fillId="0" borderId="26" xfId="60" applyNumberFormat="1" applyFont="1" applyBorder="1"/>
    <xf numFmtId="170" fontId="24" fillId="0" borderId="29" xfId="60" applyNumberFormat="1" applyFont="1" applyBorder="1"/>
    <xf numFmtId="170" fontId="24" fillId="0" borderId="0" xfId="60" applyNumberFormat="1" applyFont="1"/>
    <xf numFmtId="170" fontId="27" fillId="0" borderId="26" xfId="62" applyNumberFormat="1" applyFont="1" applyBorder="1" applyAlignment="1">
      <alignment vertical="center"/>
    </xf>
    <xf numFmtId="170" fontId="27" fillId="0" borderId="0" xfId="62" applyNumberFormat="1" applyFont="1" applyBorder="1" applyAlignment="1">
      <alignment vertical="center"/>
    </xf>
    <xf numFmtId="170" fontId="27" fillId="0" borderId="27" xfId="62" applyNumberFormat="1" applyFont="1" applyBorder="1" applyAlignment="1">
      <alignment vertical="center"/>
    </xf>
    <xf numFmtId="169" fontId="27" fillId="33" borderId="30" xfId="60" applyNumberFormat="1" applyFont="1" applyFill="1" applyBorder="1" applyAlignment="1">
      <alignment vertical="center" wrapText="1"/>
    </xf>
    <xf numFmtId="170" fontId="27" fillId="0" borderId="44" xfId="60" applyNumberFormat="1" applyFont="1" applyBorder="1"/>
    <xf numFmtId="170" fontId="27" fillId="0" borderId="30" xfId="62" applyNumberFormat="1" applyFont="1" applyBorder="1" applyAlignment="1">
      <alignment vertical="center"/>
    </xf>
    <xf numFmtId="170" fontId="27" fillId="0" borderId="45" xfId="60" applyNumberFormat="1" applyFont="1" applyBorder="1" applyAlignment="1">
      <alignment wrapText="1"/>
    </xf>
    <xf numFmtId="170" fontId="27" fillId="0" borderId="19" xfId="62" applyNumberFormat="1" applyFont="1" applyBorder="1" applyAlignment="1">
      <alignment vertical="center"/>
    </xf>
    <xf numFmtId="170" fontId="27" fillId="0" borderId="44" xfId="62" applyNumberFormat="1" applyFont="1" applyBorder="1" applyAlignment="1">
      <alignment vertical="center"/>
    </xf>
    <xf numFmtId="169" fontId="27" fillId="0" borderId="24" xfId="60" applyNumberFormat="1" applyFont="1" applyBorder="1"/>
    <xf numFmtId="170" fontId="27" fillId="0" borderId="24" xfId="62" applyNumberFormat="1" applyFont="1" applyFill="1" applyBorder="1" applyAlignment="1"/>
    <xf numFmtId="170" fontId="27" fillId="0" borderId="46" xfId="62" applyNumberFormat="1" applyFont="1" applyFill="1" applyBorder="1" applyAlignment="1"/>
    <xf numFmtId="170" fontId="27" fillId="0" borderId="47" xfId="62" applyNumberFormat="1" applyFont="1" applyFill="1" applyBorder="1" applyAlignment="1"/>
    <xf numFmtId="170" fontId="27" fillId="0" borderId="48" xfId="62" applyNumberFormat="1" applyFont="1" applyFill="1" applyBorder="1" applyAlignment="1"/>
    <xf numFmtId="169" fontId="27" fillId="0" borderId="0" xfId="60" applyNumberFormat="1" applyFont="1"/>
    <xf numFmtId="171" fontId="27" fillId="0" borderId="0" xfId="60" applyNumberFormat="1" applyFont="1" applyAlignment="1">
      <alignment wrapText="1"/>
    </xf>
    <xf numFmtId="169" fontId="31" fillId="33" borderId="0" xfId="60" applyNumberFormat="1" applyFont="1" applyFill="1" applyAlignment="1">
      <alignment horizontal="center" vertical="center" wrapText="1"/>
    </xf>
    <xf numFmtId="169" fontId="31" fillId="33" borderId="0" xfId="60" applyNumberFormat="1" applyFont="1" applyFill="1" applyAlignment="1">
      <alignment vertical="center" wrapText="1"/>
    </xf>
    <xf numFmtId="169" fontId="23" fillId="0" borderId="0" xfId="60" applyNumberFormat="1" applyFont="1" applyAlignment="1">
      <alignment vertical="center" wrapText="1"/>
    </xf>
    <xf numFmtId="170" fontId="27" fillId="0" borderId="0" xfId="62" applyNumberFormat="1" applyFont="1" applyBorder="1" applyAlignment="1">
      <alignment horizontal="right" vertical="center" wrapText="1"/>
    </xf>
    <xf numFmtId="0" fontId="32" fillId="0" borderId="0" xfId="60" applyFont="1" applyAlignment="1">
      <alignment horizontal="left" indent="1"/>
    </xf>
    <xf numFmtId="172" fontId="33" fillId="0" borderId="0" xfId="62" applyNumberFormat="1" applyFont="1" applyAlignment="1"/>
    <xf numFmtId="37" fontId="27" fillId="0" borderId="0" xfId="63" applyNumberFormat="1" applyFont="1" applyAlignment="1">
      <alignment wrapText="1"/>
    </xf>
    <xf numFmtId="173" fontId="27" fillId="0" borderId="0" xfId="60" applyNumberFormat="1" applyFont="1"/>
    <xf numFmtId="170" fontId="27" fillId="0" borderId="0" xfId="60" applyNumberFormat="1" applyFont="1"/>
    <xf numFmtId="170" fontId="1" fillId="32" borderId="0" xfId="60" applyNumberFormat="1" applyFill="1"/>
    <xf numFmtId="169" fontId="24" fillId="34" borderId="25" xfId="60" applyNumberFormat="1" applyFont="1" applyFill="1" applyBorder="1" applyAlignment="1">
      <alignment horizontal="center" wrapText="1"/>
    </xf>
    <xf numFmtId="169" fontId="27" fillId="34" borderId="27" xfId="60" applyNumberFormat="1" applyFont="1" applyFill="1" applyBorder="1" applyAlignment="1">
      <alignment wrapText="1"/>
    </xf>
    <xf numFmtId="170" fontId="27" fillId="34" borderId="27" xfId="60" applyNumberFormat="1" applyFont="1" applyFill="1" applyBorder="1" applyAlignment="1">
      <alignment wrapText="1"/>
    </xf>
    <xf numFmtId="170" fontId="27" fillId="34" borderId="27" xfId="60" applyNumberFormat="1" applyFont="1" applyFill="1" applyBorder="1"/>
    <xf numFmtId="170" fontId="24" fillId="34" borderId="32" xfId="60" applyNumberFormat="1" applyFont="1" applyFill="1" applyBorder="1"/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69" fontId="25" fillId="0" borderId="0" xfId="0" applyNumberFormat="1" applyFont="1" applyAlignment="1">
      <alignment horizontal="center"/>
    </xf>
    <xf numFmtId="169" fontId="26" fillId="0" borderId="0" xfId="0" applyNumberFormat="1" applyFont="1" applyAlignment="1">
      <alignment horizontal="center"/>
    </xf>
    <xf numFmtId="169" fontId="24" fillId="2" borderId="25" xfId="0" applyNumberFormat="1" applyFont="1" applyFill="1" applyBorder="1" applyAlignment="1">
      <alignment horizontal="center" wrapText="1"/>
    </xf>
    <xf numFmtId="169" fontId="24" fillId="2" borderId="21" xfId="0" applyNumberFormat="1" applyFont="1" applyFill="1" applyBorder="1" applyAlignment="1">
      <alignment horizontal="center" wrapText="1"/>
    </xf>
    <xf numFmtId="169" fontId="24" fillId="2" borderId="23" xfId="0" applyNumberFormat="1" applyFont="1" applyFill="1" applyBorder="1" applyAlignment="1">
      <alignment horizontal="center" wrapText="1"/>
    </xf>
    <xf numFmtId="169" fontId="24" fillId="0" borderId="26" xfId="0" applyNumberFormat="1" applyFont="1" applyBorder="1"/>
    <xf numFmtId="169" fontId="27" fillId="0" borderId="0" xfId="0" applyNumberFormat="1" applyFont="1" applyAlignment="1">
      <alignment wrapText="1"/>
    </xf>
    <xf numFmtId="169" fontId="27" fillId="0" borderId="26" xfId="0" applyNumberFormat="1" applyFont="1" applyBorder="1"/>
    <xf numFmtId="170" fontId="27" fillId="0" borderId="27" xfId="0" applyNumberFormat="1" applyFont="1" applyBorder="1"/>
    <xf numFmtId="170" fontId="27" fillId="0" borderId="27" xfId="0" applyNumberFormat="1" applyFont="1" applyBorder="1" applyAlignment="1">
      <alignment wrapText="1"/>
    </xf>
    <xf numFmtId="170" fontId="27" fillId="0" borderId="26" xfId="0" applyNumberFormat="1" applyFont="1" applyBorder="1" applyAlignment="1">
      <alignment wrapText="1"/>
    </xf>
    <xf numFmtId="170" fontId="27" fillId="0" borderId="0" xfId="0" applyNumberFormat="1" applyFont="1" applyAlignment="1">
      <alignment wrapText="1"/>
    </xf>
    <xf numFmtId="170" fontId="27" fillId="34" borderId="27" xfId="0" applyNumberFormat="1" applyFont="1" applyFill="1" applyBorder="1"/>
    <xf numFmtId="170" fontId="27" fillId="34" borderId="27" xfId="0" applyNumberFormat="1" applyFont="1" applyFill="1" applyBorder="1" applyAlignment="1">
      <alignment wrapText="1"/>
    </xf>
    <xf numFmtId="169" fontId="27" fillId="0" borderId="26" xfId="0" applyNumberFormat="1" applyFont="1" applyBorder="1" applyAlignment="1">
      <alignment horizontal="left" indent="1"/>
    </xf>
    <xf numFmtId="170" fontId="27" fillId="0" borderId="29" xfId="0" applyNumberFormat="1" applyFont="1" applyBorder="1" applyAlignment="1">
      <alignment wrapText="1"/>
    </xf>
    <xf numFmtId="169" fontId="27" fillId="0" borderId="30" xfId="0" applyNumberFormat="1" applyFont="1" applyBorder="1" applyAlignment="1">
      <alignment horizontal="left" indent="1"/>
    </xf>
    <xf numFmtId="170" fontId="24" fillId="0" borderId="32" xfId="0" applyNumberFormat="1" applyFont="1" applyBorder="1"/>
    <xf numFmtId="170" fontId="24" fillId="0" borderId="31" xfId="0" applyNumberFormat="1" applyFont="1" applyBorder="1"/>
    <xf numFmtId="170" fontId="24" fillId="0" borderId="33" xfId="0" applyNumberFormat="1" applyFont="1" applyBorder="1"/>
    <xf numFmtId="170" fontId="24" fillId="0" borderId="34" xfId="0" applyNumberFormat="1" applyFont="1" applyBorder="1"/>
    <xf numFmtId="169" fontId="28" fillId="33" borderId="27" xfId="4" applyNumberFormat="1" applyFont="1" applyFill="1" applyBorder="1" applyAlignment="1">
      <alignment horizontal="left" indent="1"/>
    </xf>
    <xf numFmtId="170" fontId="27" fillId="33" borderId="27" xfId="0" applyNumberFormat="1" applyFont="1" applyFill="1" applyBorder="1"/>
    <xf numFmtId="170" fontId="27" fillId="33" borderId="26" xfId="0" applyNumberFormat="1" applyFont="1" applyFill="1" applyBorder="1" applyAlignment="1">
      <alignment wrapText="1"/>
    </xf>
    <xf numFmtId="170" fontId="27" fillId="33" borderId="29" xfId="0" applyNumberFormat="1" applyFont="1" applyFill="1" applyBorder="1" applyAlignment="1">
      <alignment wrapText="1"/>
    </xf>
    <xf numFmtId="170" fontId="27" fillId="33" borderId="0" xfId="0" applyNumberFormat="1" applyFont="1" applyFill="1" applyAlignment="1">
      <alignment wrapText="1"/>
    </xf>
    <xf numFmtId="170" fontId="27" fillId="33" borderId="27" xfId="0" applyNumberFormat="1" applyFont="1" applyFill="1" applyBorder="1" applyAlignment="1">
      <alignment wrapText="1"/>
    </xf>
    <xf numFmtId="0" fontId="22" fillId="0" borderId="0" xfId="0" applyFont="1"/>
    <xf numFmtId="169" fontId="24" fillId="0" borderId="36" xfId="0" applyNumberFormat="1" applyFont="1" applyBorder="1"/>
    <xf numFmtId="170" fontId="24" fillId="0" borderId="37" xfId="0" applyNumberFormat="1" applyFont="1" applyBorder="1"/>
    <xf numFmtId="170" fontId="24" fillId="0" borderId="36" xfId="0" applyNumberFormat="1" applyFont="1" applyBorder="1"/>
    <xf numFmtId="170" fontId="24" fillId="0" borderId="38" xfId="0" applyNumberFormat="1" applyFont="1" applyBorder="1"/>
    <xf numFmtId="170" fontId="24" fillId="0" borderId="39" xfId="0" applyNumberFormat="1" applyFont="1" applyBorder="1"/>
    <xf numFmtId="170" fontId="24" fillId="0" borderId="27" xfId="0" applyNumberFormat="1" applyFont="1" applyBorder="1"/>
    <xf numFmtId="169" fontId="27" fillId="0" borderId="31" xfId="0" applyNumberFormat="1" applyFont="1" applyBorder="1" applyAlignment="1">
      <alignment horizontal="right"/>
    </xf>
    <xf numFmtId="169" fontId="27" fillId="0" borderId="40" xfId="0" applyNumberFormat="1" applyFont="1" applyBorder="1" applyAlignment="1">
      <alignment horizontal="right"/>
    </xf>
    <xf numFmtId="170" fontId="24" fillId="0" borderId="41" xfId="0" applyNumberFormat="1" applyFont="1" applyBorder="1"/>
    <xf numFmtId="170" fontId="24" fillId="0" borderId="40" xfId="0" applyNumberFormat="1" applyFont="1" applyBorder="1"/>
    <xf numFmtId="170" fontId="24" fillId="0" borderId="42" xfId="0" applyNumberFormat="1" applyFont="1" applyBorder="1"/>
    <xf numFmtId="170" fontId="24" fillId="0" borderId="43" xfId="0" applyNumberFormat="1" applyFont="1" applyBorder="1"/>
    <xf numFmtId="169" fontId="24" fillId="0" borderId="30" xfId="0" applyNumberFormat="1" applyFont="1" applyBorder="1"/>
    <xf numFmtId="170" fontId="24" fillId="0" borderId="44" xfId="0" applyNumberFormat="1" applyFont="1" applyBorder="1"/>
    <xf numFmtId="170" fontId="24" fillId="0" borderId="30" xfId="0" applyNumberFormat="1" applyFont="1" applyBorder="1"/>
    <xf numFmtId="170" fontId="24" fillId="0" borderId="45" xfId="0" applyNumberFormat="1" applyFont="1" applyBorder="1"/>
    <xf numFmtId="170" fontId="24" fillId="0" borderId="19" xfId="0" applyNumberFormat="1" applyFont="1" applyBorder="1"/>
    <xf numFmtId="169" fontId="30" fillId="33" borderId="26" xfId="0" applyNumberFormat="1" applyFont="1" applyFill="1" applyBorder="1" applyAlignment="1">
      <alignment horizontal="center"/>
    </xf>
    <xf numFmtId="170" fontId="24" fillId="0" borderId="26" xfId="0" applyNumberFormat="1" applyFont="1" applyBorder="1"/>
    <xf numFmtId="170" fontId="24" fillId="0" borderId="29" xfId="0" applyNumberFormat="1" applyFont="1" applyBorder="1"/>
    <xf numFmtId="170" fontId="24" fillId="0" borderId="0" xfId="0" applyNumberFormat="1" applyFont="1"/>
    <xf numFmtId="169" fontId="27" fillId="33" borderId="30" xfId="0" applyNumberFormat="1" applyFont="1" applyFill="1" applyBorder="1" applyAlignment="1">
      <alignment vertical="center" wrapText="1"/>
    </xf>
    <xf numFmtId="170" fontId="27" fillId="0" borderId="44" xfId="0" applyNumberFormat="1" applyFont="1" applyBorder="1"/>
    <xf numFmtId="170" fontId="27" fillId="0" borderId="45" xfId="0" applyNumberFormat="1" applyFont="1" applyBorder="1" applyAlignment="1">
      <alignment wrapText="1"/>
    </xf>
    <xf numFmtId="169" fontId="27" fillId="0" borderId="24" xfId="0" applyNumberFormat="1" applyFont="1" applyBorder="1"/>
    <xf numFmtId="169" fontId="27" fillId="0" borderId="0" xfId="0" applyNumberFormat="1" applyFont="1"/>
    <xf numFmtId="171" fontId="27" fillId="0" borderId="0" xfId="0" applyNumberFormat="1" applyFont="1" applyAlignment="1">
      <alignment wrapText="1"/>
    </xf>
    <xf numFmtId="169" fontId="31" fillId="33" borderId="0" xfId="0" applyNumberFormat="1" applyFont="1" applyFill="1" applyAlignment="1">
      <alignment horizontal="center" vertical="center" wrapText="1"/>
    </xf>
    <xf numFmtId="169" fontId="31" fillId="33" borderId="0" xfId="0" applyNumberFormat="1" applyFont="1" applyFill="1" applyAlignment="1">
      <alignment vertical="center" wrapText="1"/>
    </xf>
    <xf numFmtId="169" fontId="23" fillId="0" borderId="0" xfId="0" applyNumberFormat="1" applyFont="1" applyAlignment="1">
      <alignment vertical="center" wrapText="1"/>
    </xf>
    <xf numFmtId="169" fontId="24" fillId="0" borderId="27" xfId="0" applyNumberFormat="1" applyFont="1" applyBorder="1"/>
    <xf numFmtId="169" fontId="27" fillId="0" borderId="26" xfId="0" applyNumberFormat="1" applyFont="1" applyBorder="1" applyAlignment="1">
      <alignment wrapText="1"/>
    </xf>
    <xf numFmtId="169" fontId="27" fillId="0" borderId="28" xfId="0" applyNumberFormat="1" applyFont="1" applyBorder="1" applyAlignment="1">
      <alignment wrapText="1"/>
    </xf>
    <xf numFmtId="169" fontId="24" fillId="0" borderId="31" xfId="0" applyNumberFormat="1" applyFont="1" applyBorder="1" applyAlignment="1">
      <alignment horizontal="right"/>
    </xf>
    <xf numFmtId="169" fontId="28" fillId="0" borderId="27" xfId="4" applyNumberFormat="1" applyFont="1" applyBorder="1" applyAlignment="1">
      <alignment horizontal="left" indent="1"/>
    </xf>
    <xf numFmtId="169" fontId="29" fillId="0" borderId="27" xfId="4" applyNumberFormat="1" applyFont="1" applyBorder="1" applyAlignment="1">
      <alignment horizontal="left" indent="1"/>
    </xf>
    <xf numFmtId="169" fontId="27" fillId="26" borderId="27" xfId="0" applyNumberFormat="1" applyFont="1" applyFill="1" applyBorder="1" applyAlignment="1">
      <alignment horizontal="left" indent="1"/>
    </xf>
    <xf numFmtId="170" fontId="27" fillId="26" borderId="26" xfId="0" applyNumberFormat="1" applyFont="1" applyFill="1" applyBorder="1" applyAlignment="1">
      <alignment wrapText="1"/>
    </xf>
    <xf numFmtId="169" fontId="27" fillId="26" borderId="26" xfId="0" applyNumberFormat="1" applyFont="1" applyFill="1" applyBorder="1" applyAlignment="1">
      <alignment horizontal="left" indent="1"/>
    </xf>
    <xf numFmtId="170" fontId="24" fillId="27" borderId="31" xfId="0" applyNumberFormat="1" applyFont="1" applyFill="1" applyBorder="1"/>
    <xf numFmtId="170" fontId="24" fillId="27" borderId="33" xfId="0" applyNumberFormat="1" applyFont="1" applyFill="1" applyBorder="1"/>
    <xf numFmtId="169" fontId="24" fillId="27" borderId="31" xfId="0" applyNumberFormat="1" applyFont="1" applyFill="1" applyBorder="1" applyAlignment="1">
      <alignment horizontal="right"/>
    </xf>
    <xf numFmtId="169" fontId="27" fillId="28" borderId="26" xfId="0" applyNumberFormat="1" applyFont="1" applyFill="1" applyBorder="1" applyAlignment="1">
      <alignment horizontal="left" indent="1"/>
    </xf>
    <xf numFmtId="170" fontId="27" fillId="28" borderId="0" xfId="0" applyNumberFormat="1" applyFont="1" applyFill="1" applyAlignment="1">
      <alignment wrapText="1"/>
    </xf>
    <xf numFmtId="169" fontId="27" fillId="35" borderId="26" xfId="0" applyNumberFormat="1" applyFont="1" applyFill="1" applyBorder="1"/>
    <xf numFmtId="170" fontId="27" fillId="35" borderId="27" xfId="0" applyNumberFormat="1" applyFont="1" applyFill="1" applyBorder="1" applyAlignment="1">
      <alignment wrapText="1"/>
    </xf>
    <xf numFmtId="169" fontId="27" fillId="35" borderId="26" xfId="0" applyNumberFormat="1" applyFont="1" applyFill="1" applyBorder="1" applyAlignment="1">
      <alignment horizontal="left" indent="1"/>
    </xf>
    <xf numFmtId="169" fontId="27" fillId="35" borderId="35" xfId="0" applyNumberFormat="1" applyFont="1" applyFill="1" applyBorder="1" applyAlignment="1">
      <alignment horizontal="left" indent="1"/>
    </xf>
    <xf numFmtId="170" fontId="24" fillId="36" borderId="37" xfId="0" applyNumberFormat="1" applyFont="1" applyFill="1" applyBorder="1"/>
    <xf numFmtId="169" fontId="24" fillId="36" borderId="36" xfId="0" applyNumberFormat="1" applyFont="1" applyFill="1" applyBorder="1"/>
    <xf numFmtId="0" fontId="3" fillId="0" borderId="0" xfId="0" applyFont="1" applyAlignment="1">
      <alignment horizontal="center"/>
    </xf>
    <xf numFmtId="169" fontId="24" fillId="34" borderId="25" xfId="0" applyNumberFormat="1" applyFont="1" applyFill="1" applyBorder="1" applyAlignment="1">
      <alignment horizontal="center" wrapText="1"/>
    </xf>
    <xf numFmtId="169" fontId="27" fillId="34" borderId="27" xfId="0" applyNumberFormat="1" applyFont="1" applyFill="1" applyBorder="1" applyAlignment="1">
      <alignment wrapText="1"/>
    </xf>
    <xf numFmtId="170" fontId="24" fillId="34" borderId="32" xfId="0" applyNumberFormat="1" applyFont="1" applyFill="1" applyBorder="1"/>
    <xf numFmtId="170" fontId="24" fillId="34" borderId="37" xfId="0" applyNumberFormat="1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9" fontId="24" fillId="2" borderId="20" xfId="0" applyNumberFormat="1" applyFont="1" applyFill="1" applyBorder="1" applyAlignment="1">
      <alignment horizontal="center" vertical="center"/>
    </xf>
    <xf numFmtId="169" fontId="24" fillId="2" borderId="24" xfId="0" applyNumberFormat="1" applyFont="1" applyFill="1" applyBorder="1" applyAlignment="1">
      <alignment horizontal="center" vertical="center"/>
    </xf>
    <xf numFmtId="169" fontId="24" fillId="2" borderId="21" xfId="0" applyNumberFormat="1" applyFont="1" applyFill="1" applyBorder="1" applyAlignment="1">
      <alignment horizontal="center"/>
    </xf>
    <xf numFmtId="169" fontId="24" fillId="2" borderId="22" xfId="0" applyNumberFormat="1" applyFont="1" applyFill="1" applyBorder="1" applyAlignment="1">
      <alignment horizontal="center"/>
    </xf>
    <xf numFmtId="169" fontId="24" fillId="2" borderId="21" xfId="0" applyNumberFormat="1" applyFont="1" applyFill="1" applyBorder="1" applyAlignment="1">
      <alignment horizontal="center" wrapText="1"/>
    </xf>
    <xf numFmtId="169" fontId="24" fillId="2" borderId="23" xfId="0" applyNumberFormat="1" applyFont="1" applyFill="1" applyBorder="1" applyAlignment="1">
      <alignment horizontal="center" wrapText="1"/>
    </xf>
    <xf numFmtId="169" fontId="24" fillId="2" borderId="22" xfId="0" applyNumberFormat="1" applyFont="1" applyFill="1" applyBorder="1" applyAlignment="1">
      <alignment horizontal="center" wrapText="1"/>
    </xf>
    <xf numFmtId="169" fontId="24" fillId="2" borderId="20" xfId="60" applyNumberFormat="1" applyFont="1" applyFill="1" applyBorder="1" applyAlignment="1">
      <alignment horizontal="center" vertical="center"/>
    </xf>
    <xf numFmtId="169" fontId="24" fillId="2" borderId="24" xfId="60" applyNumberFormat="1" applyFont="1" applyFill="1" applyBorder="1" applyAlignment="1">
      <alignment horizontal="center" vertical="center"/>
    </xf>
    <xf numFmtId="169" fontId="24" fillId="2" borderId="21" xfId="60" applyNumberFormat="1" applyFont="1" applyFill="1" applyBorder="1" applyAlignment="1">
      <alignment horizontal="center"/>
    </xf>
    <xf numFmtId="169" fontId="24" fillId="2" borderId="22" xfId="60" applyNumberFormat="1" applyFont="1" applyFill="1" applyBorder="1" applyAlignment="1">
      <alignment horizontal="center"/>
    </xf>
    <xf numFmtId="169" fontId="24" fillId="2" borderId="21" xfId="60" applyNumberFormat="1" applyFont="1" applyFill="1" applyBorder="1" applyAlignment="1">
      <alignment horizontal="center" wrapText="1"/>
    </xf>
    <xf numFmtId="169" fontId="24" fillId="2" borderId="23" xfId="60" applyNumberFormat="1" applyFont="1" applyFill="1" applyBorder="1" applyAlignment="1">
      <alignment horizontal="center" wrapText="1"/>
    </xf>
    <xf numFmtId="169" fontId="24" fillId="2" borderId="22" xfId="60" applyNumberFormat="1" applyFont="1" applyFill="1" applyBorder="1" applyAlignment="1">
      <alignment horizontal="center" wrapText="1"/>
    </xf>
    <xf numFmtId="0" fontId="36" fillId="0" borderId="0" xfId="64"/>
  </cellXfs>
  <cellStyles count="65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Comma 2" xfId="5" xr:uid="{00000000-0005-0000-0000-00001C000000}"/>
    <cellStyle name="Comma 2 2" xfId="56" xr:uid="{00000000-0005-0000-0000-00001D000000}"/>
    <cellStyle name="Comma 3" xfId="50" xr:uid="{00000000-0005-0000-0000-00001E000000}"/>
    <cellStyle name="Comma 4" xfId="34" xr:uid="{00000000-0005-0000-0000-00001F000000}"/>
    <cellStyle name="Comma 4 2" xfId="52" xr:uid="{00000000-0005-0000-0000-000020000000}"/>
    <cellStyle name="Comma 5" xfId="6" xr:uid="{00000000-0005-0000-0000-000021000000}"/>
    <cellStyle name="Comma 5 2" xfId="53" xr:uid="{00000000-0005-0000-0000-000022000000}"/>
    <cellStyle name="Currency 2" xfId="49" xr:uid="{00000000-0005-0000-0000-000023000000}"/>
    <cellStyle name="Currency 2 2" xfId="62" xr:uid="{00000000-0005-0000-0000-000024000000}"/>
    <cellStyle name="Currency 3" xfId="54" xr:uid="{00000000-0005-0000-0000-000025000000}"/>
    <cellStyle name="Currency 3 2" xfId="55" xr:uid="{00000000-0005-0000-0000-000026000000}"/>
    <cellStyle name="Currency 4" xfId="51" xr:uid="{00000000-0005-0000-0000-000027000000}"/>
    <cellStyle name="Explanatory Text 2" xfId="35" xr:uid="{00000000-0005-0000-0000-000028000000}"/>
    <cellStyle name="Good 2" xfId="36" xr:uid="{00000000-0005-0000-0000-000029000000}"/>
    <cellStyle name="Heading 1 2" xfId="37" xr:uid="{00000000-0005-0000-0000-00002A000000}"/>
    <cellStyle name="Heading 2 2" xfId="38" xr:uid="{00000000-0005-0000-0000-00002B000000}"/>
    <cellStyle name="Heading 3 2" xfId="39" xr:uid="{00000000-0005-0000-0000-00002C000000}"/>
    <cellStyle name="Heading 4 2" xfId="40" xr:uid="{00000000-0005-0000-0000-00002D000000}"/>
    <cellStyle name="Hyperlink" xfId="64" builtinId="8"/>
    <cellStyle name="Input 2" xfId="41" xr:uid="{00000000-0005-0000-0000-00002E000000}"/>
    <cellStyle name="Linked Cell 2" xfId="42" xr:uid="{00000000-0005-0000-0000-00002F000000}"/>
    <cellStyle name="Neutral 2" xfId="43" xr:uid="{00000000-0005-0000-0000-000030000000}"/>
    <cellStyle name="Normal" xfId="0" builtinId="0"/>
    <cellStyle name="Normal 2" xfId="4" xr:uid="{00000000-0005-0000-0000-000032000000}"/>
    <cellStyle name="Normal 2 2" xfId="57" xr:uid="{00000000-0005-0000-0000-000033000000}"/>
    <cellStyle name="Normal 2 2 2" xfId="58" xr:uid="{00000000-0005-0000-0000-000034000000}"/>
    <cellStyle name="Normal 2 3" xfId="61" xr:uid="{00000000-0005-0000-0000-000035000000}"/>
    <cellStyle name="Normal 3" xfId="59" xr:uid="{00000000-0005-0000-0000-000036000000}"/>
    <cellStyle name="Normal 4" xfId="2" xr:uid="{00000000-0005-0000-0000-000037000000}"/>
    <cellStyle name="Normal 5" xfId="60" xr:uid="{00000000-0005-0000-0000-000038000000}"/>
    <cellStyle name="Note 2" xfId="44" xr:uid="{00000000-0005-0000-0000-000039000000}"/>
    <cellStyle name="Output 2" xfId="45" xr:uid="{00000000-0005-0000-0000-00003A000000}"/>
    <cellStyle name="Percent" xfId="1" builtinId="5"/>
    <cellStyle name="Percent 2" xfId="3" xr:uid="{00000000-0005-0000-0000-00003C000000}"/>
    <cellStyle name="Percent 3" xfId="63" xr:uid="{00000000-0005-0000-0000-00003D000000}"/>
    <cellStyle name="Title 2" xfId="46" xr:uid="{00000000-0005-0000-0000-00003E000000}"/>
    <cellStyle name="Total 2" xfId="47" xr:uid="{00000000-0005-0000-0000-00003F000000}"/>
    <cellStyle name="Warning Text 2" xfId="48" xr:uid="{00000000-0005-0000-0000-000040000000}"/>
  </cellStyles>
  <dxfs count="2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95B3D7"/>
      <color rgb="FF007ACC"/>
      <color rgb="FFFFFF99"/>
      <color rgb="FFCCFFCC"/>
      <color rgb="FFFFCCCC"/>
      <color rgb="FFCCFFFF"/>
      <color rgb="FF007F39"/>
      <color rgb="FFA2A4A3"/>
      <color rgb="FF565A5C"/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</a:t>
            </a:r>
            <a:r>
              <a:rPr lang="en-US" baseline="0"/>
              <a:t> </a:t>
            </a:r>
            <a:r>
              <a:rPr lang="en-US"/>
              <a:t>Boulder Current Funds Revenue Breakout FY15-FY25 </a:t>
            </a:r>
          </a:p>
          <a:p>
            <a:pPr>
              <a:defRPr/>
            </a:pPr>
            <a:r>
              <a:rPr lang="en-US"/>
              <a:t>       (in millions)</a:t>
            </a:r>
          </a:p>
        </c:rich>
      </c:tx>
      <c:layout>
        <c:manualLayout>
          <c:xMode val="edge"/>
          <c:yMode val="edge"/>
          <c:x val="0.19014784980700236"/>
          <c:y val="2.5424618637332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857243657541"/>
          <c:y val="0.10556348074179746"/>
          <c:w val="0.64045660334840282"/>
          <c:h val="0.80171184022824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'CF Summary'!$A$28</c:f>
              <c:strCache>
                <c:ptCount val="1"/>
                <c:pt idx="0">
                  <c:v>Fee for Service</c:v>
                </c:pt>
              </c:strCache>
            </c:strRef>
          </c:tx>
          <c:spPr>
            <a:solidFill>
              <a:srgbClr val="007A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'CF Summary'!$B$27:$U$27</c15:sqref>
                  </c15:fullRef>
                </c:ext>
              </c:extLst>
              <c:f>'CF Summary'!$J$27:$T$27</c:f>
              <c:strCache>
                <c:ptCount val="11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  <c:pt idx="10">
                  <c:v>FY25 Estimate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'CF Summary'!$B$28:$U$28</c15:sqref>
                  </c15:fullRef>
                </c:ext>
              </c:extLst>
              <c:f>'CF Summary'!$J$28:$T$28</c:f>
              <c:numCache>
                <c:formatCode>"$"#,##0,,</c:formatCode>
                <c:ptCount val="11"/>
                <c:pt idx="0">
                  <c:v>31521096</c:v>
                </c:pt>
                <c:pt idx="1">
                  <c:v>36495109</c:v>
                </c:pt>
                <c:pt idx="2">
                  <c:v>37204097</c:v>
                </c:pt>
                <c:pt idx="3">
                  <c:v>39494292</c:v>
                </c:pt>
                <c:pt idx="4">
                  <c:v>44393380</c:v>
                </c:pt>
                <c:pt idx="5">
                  <c:v>49812040</c:v>
                </c:pt>
                <c:pt idx="6">
                  <c:v>20747242</c:v>
                </c:pt>
                <c:pt idx="7">
                  <c:v>56460058</c:v>
                </c:pt>
                <c:pt idx="8">
                  <c:v>55027919</c:v>
                </c:pt>
                <c:pt idx="9">
                  <c:v>63635978</c:v>
                </c:pt>
                <c:pt idx="10">
                  <c:v>73691063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'CF Summary'!$B$28</c15:sqref>
                  <c15:dLbl>
                    <c:idx val="-1"/>
                    <c:layout>
                      <c:manualLayout>
                        <c:x val="1.2524630128934427E-3"/>
                        <c:y val="8.3972916023645561E-4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baseline="0">
                            <a:solidFill>
                              <a:schemeClr val="bg1"/>
                            </a:solidFill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3.2595399220119885E-2"/>
                            <c:h val="2.6543904875480726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8F79-48DD-BFB0-0E4CE5D4C0F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6D4D-452E-A6B7-AB344AB718D2}"/>
            </c:ext>
          </c:extLst>
        </c:ser>
        <c:ser>
          <c:idx val="1"/>
          <c:order val="1"/>
          <c:tx>
            <c:strRef>
              <c:f>'CF Summary'!$A$29</c:f>
              <c:strCache>
                <c:ptCount val="1"/>
                <c:pt idx="0">
                  <c:v>College Opportunity Fund</c:v>
                </c:pt>
              </c:strCache>
            </c:strRef>
          </c:tx>
          <c:spPr>
            <a:solidFill>
              <a:srgbClr val="007F3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'CF Summary'!$B$27:$U$27</c15:sqref>
                  </c15:fullRef>
                </c:ext>
              </c:extLst>
              <c:f>'CF Summary'!$J$27:$T$27</c:f>
              <c:strCache>
                <c:ptCount val="11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  <c:pt idx="10">
                  <c:v>FY25 Estimate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'CF Summary'!$B$29:$U$29</c15:sqref>
                  </c15:fullRef>
                </c:ext>
              </c:extLst>
              <c:f>'CF Summary'!$J$29:$T$29</c:f>
              <c:numCache>
                <c:formatCode>"$"#,##0,,</c:formatCode>
                <c:ptCount val="11"/>
                <c:pt idx="0">
                  <c:v>31859432</c:v>
                </c:pt>
                <c:pt idx="1">
                  <c:v>31859432</c:v>
                </c:pt>
                <c:pt idx="2">
                  <c:v>32188645</c:v>
                </c:pt>
                <c:pt idx="3">
                  <c:v>33390840</c:v>
                </c:pt>
                <c:pt idx="4">
                  <c:v>36998672</c:v>
                </c:pt>
                <c:pt idx="5">
                  <c:v>41404678</c:v>
                </c:pt>
                <c:pt idx="6">
                  <c:v>17576926</c:v>
                </c:pt>
                <c:pt idx="7">
                  <c:v>42293747</c:v>
                </c:pt>
                <c:pt idx="8">
                  <c:v>47348114</c:v>
                </c:pt>
                <c:pt idx="9">
                  <c:v>48841930</c:v>
                </c:pt>
                <c:pt idx="10">
                  <c:v>50186294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'CF Summary'!$B$29</c15:sqref>
                  <c15:dLbl>
                    <c:idx val="-1"/>
                    <c:layout>
                      <c:manualLayout>
                        <c:x val="0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8F79-48DD-BFB0-0E4CE5D4C0F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6D4D-452E-A6B7-AB344AB718D2}"/>
            </c:ext>
          </c:extLst>
        </c:ser>
        <c:ser>
          <c:idx val="2"/>
          <c:order val="2"/>
          <c:tx>
            <c:strRef>
              <c:f>'CF Summary'!$A$30</c:f>
              <c:strCache>
                <c:ptCount val="1"/>
                <c:pt idx="0">
                  <c:v>Student Tuition and Fees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'CF Summary'!$B$27:$U$27</c15:sqref>
                  </c15:fullRef>
                </c:ext>
              </c:extLst>
              <c:f>'CF Summary'!$J$27:$T$27</c:f>
              <c:strCache>
                <c:ptCount val="11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  <c:pt idx="10">
                  <c:v>FY25 Estimate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'CF Summary'!$B$30:$U$30</c15:sqref>
                  </c15:fullRef>
                </c:ext>
              </c:extLst>
              <c:f>'CF Summary'!$J$30:$T$30</c:f>
              <c:numCache>
                <c:formatCode>"$"#,##0,,</c:formatCode>
                <c:ptCount val="11"/>
                <c:pt idx="0">
                  <c:v>600331717</c:v>
                </c:pt>
                <c:pt idx="1">
                  <c:v>661514263</c:v>
                </c:pt>
                <c:pt idx="2">
                  <c:v>712909737</c:v>
                </c:pt>
                <c:pt idx="3">
                  <c:v>768600454</c:v>
                </c:pt>
                <c:pt idx="4">
                  <c:v>809518586</c:v>
                </c:pt>
                <c:pt idx="5">
                  <c:v>857739030</c:v>
                </c:pt>
                <c:pt idx="6">
                  <c:v>843989238</c:v>
                </c:pt>
                <c:pt idx="7">
                  <c:v>894183256</c:v>
                </c:pt>
                <c:pt idx="8">
                  <c:v>931783377</c:v>
                </c:pt>
                <c:pt idx="9">
                  <c:v>989745732</c:v>
                </c:pt>
                <c:pt idx="10">
                  <c:v>1023974539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D-452E-A6B7-AB344AB718D2}"/>
            </c:ext>
          </c:extLst>
        </c:ser>
        <c:ser>
          <c:idx val="3"/>
          <c:order val="3"/>
          <c:tx>
            <c:strRef>
              <c:f>'CF Summary'!$A$31</c:f>
              <c:strCache>
                <c:ptCount val="1"/>
                <c:pt idx="0">
                  <c:v>Federal Grants &amp; Contracts</c:v>
                </c:pt>
              </c:strCache>
            </c:strRef>
          </c:tx>
          <c:spPr>
            <a:solidFill>
              <a:srgbClr val="CFB87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'CF Summary'!$B$27:$U$27</c15:sqref>
                  </c15:fullRef>
                </c:ext>
              </c:extLst>
              <c:f>'CF Summary'!$J$27:$T$27</c:f>
              <c:strCache>
                <c:ptCount val="11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  <c:pt idx="10">
                  <c:v>FY25 Estimate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'CF Summary'!$B$31:$U$31</c15:sqref>
                  </c15:fullRef>
                </c:ext>
              </c:extLst>
              <c:f>'CF Summary'!$J$31:$T$31</c:f>
              <c:numCache>
                <c:formatCode>"$"#,##0,,</c:formatCode>
                <c:ptCount val="11"/>
                <c:pt idx="0">
                  <c:v>293700642</c:v>
                </c:pt>
                <c:pt idx="1">
                  <c:v>305457136</c:v>
                </c:pt>
                <c:pt idx="2">
                  <c:v>328323330</c:v>
                </c:pt>
                <c:pt idx="3">
                  <c:v>299116802</c:v>
                </c:pt>
                <c:pt idx="4">
                  <c:v>313131855</c:v>
                </c:pt>
                <c:pt idx="5">
                  <c:v>313891432</c:v>
                </c:pt>
                <c:pt idx="6">
                  <c:v>350756536</c:v>
                </c:pt>
                <c:pt idx="7">
                  <c:v>405021353</c:v>
                </c:pt>
                <c:pt idx="8">
                  <c:v>420945304</c:v>
                </c:pt>
                <c:pt idx="9">
                  <c:v>460580010</c:v>
                </c:pt>
                <c:pt idx="10">
                  <c:v>479003210.40000004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D-452E-A6B7-AB344AB718D2}"/>
            </c:ext>
          </c:extLst>
        </c:ser>
        <c:ser>
          <c:idx val="4"/>
          <c:order val="4"/>
          <c:tx>
            <c:strRef>
              <c:f>'CF Summary'!$A$32</c:f>
              <c:strCache>
                <c:ptCount val="1"/>
                <c:pt idx="0">
                  <c:v>Other Revenue</c:v>
                </c:pt>
              </c:strCache>
            </c:strRef>
          </c:tx>
          <c:spPr>
            <a:solidFill>
              <a:srgbClr val="565A5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'CF Summary'!$B$27:$U$27</c15:sqref>
                  </c15:fullRef>
                </c:ext>
              </c:extLst>
              <c:f>'CF Summary'!$J$27:$T$27</c:f>
              <c:strCache>
                <c:ptCount val="11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  <c:pt idx="10">
                  <c:v>FY25 Estimate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'CF Summary'!$B$32:$U$32</c15:sqref>
                  </c15:fullRef>
                </c:ext>
              </c:extLst>
              <c:f>'CF Summary'!$J$32:$T$32</c:f>
              <c:numCache>
                <c:formatCode>"$"#,##0,,</c:formatCode>
                <c:ptCount val="11"/>
                <c:pt idx="0">
                  <c:v>435724113</c:v>
                </c:pt>
                <c:pt idx="1">
                  <c:v>467417973</c:v>
                </c:pt>
                <c:pt idx="2">
                  <c:v>507605758</c:v>
                </c:pt>
                <c:pt idx="3">
                  <c:v>584626607</c:v>
                </c:pt>
                <c:pt idx="4">
                  <c:v>611029227</c:v>
                </c:pt>
                <c:pt idx="5">
                  <c:v>566671583</c:v>
                </c:pt>
                <c:pt idx="6">
                  <c:v>488860845</c:v>
                </c:pt>
                <c:pt idx="7">
                  <c:v>644021746</c:v>
                </c:pt>
                <c:pt idx="8">
                  <c:v>680053928</c:v>
                </c:pt>
                <c:pt idx="9">
                  <c:v>795461554</c:v>
                </c:pt>
                <c:pt idx="10">
                  <c:v>820283482.83999991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4D-452E-A6B7-AB344AB718D2}"/>
            </c:ext>
          </c:extLst>
        </c:ser>
        <c:ser>
          <c:idx val="5"/>
          <c:order val="5"/>
          <c:tx>
            <c:strRef>
              <c:f>'CF Summary'!$A$33</c:f>
              <c:strCache>
                <c:ptCount val="1"/>
                <c:pt idx="0">
                  <c:v>CARES Act/HEERF</c:v>
                </c:pt>
              </c:strCache>
            </c:strRef>
          </c:tx>
          <c:spPr>
            <a:solidFill>
              <a:srgbClr val="A2A4A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'CF Summary'!$B$27:$U$27</c15:sqref>
                  </c15:fullRef>
                </c:ext>
              </c:extLst>
              <c:f>'CF Summary'!$J$27:$T$27</c:f>
              <c:strCache>
                <c:ptCount val="11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  <c:pt idx="10">
                  <c:v>FY25 Estimate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'CF Summary'!$B$33:$U$33</c15:sqref>
                  </c15:fullRef>
                </c:ext>
              </c:extLst>
              <c:f>'CF Summary'!$J$33:$T$33</c:f>
              <c:numCache>
                <c:formatCode>"$"#,##0,,</c:formatCode>
                <c:ptCount val="11"/>
                <c:pt idx="5">
                  <c:v>67005232</c:v>
                </c:pt>
                <c:pt idx="6">
                  <c:v>72785894</c:v>
                </c:pt>
                <c:pt idx="7">
                  <c:v>26598687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'CF Summary'!$F$33</c15:sqref>
                  <c15:dLbl>
                    <c:idx val="-1"/>
                    <c:layout>
                      <c:manualLayout>
                        <c:x val="-2.2988503666530576E-3"/>
                        <c:y val="-7.448789571694599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F79-48DD-BFB0-0E4CE5D4C0F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6D4D-452E-A6B7-AB344AB718D2}"/>
            </c:ext>
          </c:extLst>
        </c:ser>
        <c:ser>
          <c:idx val="6"/>
          <c:order val="6"/>
          <c:tx>
            <c:strRef>
              <c:f>'CF Summary'!$A$34</c:f>
              <c:strCache>
                <c:ptCount val="1"/>
                <c:pt idx="0">
                  <c:v>ARRA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'CF Summary'!$B$27:$U$27</c15:sqref>
                  </c15:fullRef>
                </c:ext>
              </c:extLst>
              <c:f>'CF Summary'!$J$27:$T$27</c:f>
              <c:strCache>
                <c:ptCount val="11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  <c:pt idx="10">
                  <c:v>FY25 Estimate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'CF Summary'!$B$34:$U$34</c15:sqref>
                  </c15:fullRef>
                </c:ext>
              </c:extLst>
              <c:f>'CF Summary'!$J$34:$T$34</c:f>
              <c:numCache>
                <c:formatCode>"$"#,##0,,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320E-4A45-9278-7F5108C9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325624063"/>
        <c:axId val="1"/>
      </c:barChart>
      <c:catAx>
        <c:axId val="132562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Distribution</a:t>
                </a:r>
              </a:p>
            </c:rich>
          </c:tx>
          <c:layout>
            <c:manualLayout>
              <c:xMode val="edge"/>
              <c:yMode val="edge"/>
              <c:x val="2.768166089965398E-2"/>
              <c:y val="0.423680456490727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5624063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30156679146301"/>
          <c:y val="0.29343819422889073"/>
          <c:w val="0.21669843320853702"/>
          <c:h val="0.22218280668207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144316</xdr:colOff>
      <xdr:row>0</xdr:row>
      <xdr:rowOff>503574</xdr:rowOff>
    </xdr:from>
    <xdr:to>
      <xdr:col>17</xdr:col>
      <xdr:colOff>378402</xdr:colOff>
      <xdr:row>53</xdr:row>
      <xdr:rowOff>64173</xdr:rowOff>
    </xdr:to>
    <xdr:graphicFrame macro="">
      <xdr:nvGraphicFramePr>
        <xdr:cNvPr id="2" name="Chart 1" descr="CU Boulder's sources of revenue broken out by percentage of total revenue by fiscal year." title="CU Boulder Current Funds Revenue Breakout FY2007-20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69109</xdr:colOff>
      <xdr:row>1</xdr:row>
      <xdr:rowOff>32072</xdr:rowOff>
    </xdr:to>
    <xdr:pic>
      <xdr:nvPicPr>
        <xdr:cNvPr id="5" name="Picture 4" title="University of Colorado Boulder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334513" cy="622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273050</xdr:colOff>
      <xdr:row>0</xdr:row>
      <xdr:rowOff>772914</xdr:rowOff>
    </xdr:to>
    <xdr:pic>
      <xdr:nvPicPr>
        <xdr:cNvPr id="3" name="Picture 2" title="University of Colorado Boulder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62575" cy="7697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cbfiles.colorado.edu\bfp\Groups\Planning\Budget%20Development\Regent%20Retreat%20Materials\june%202021%20bor%20retreat\June\FY%202021-22%20Boulder%20Templates%20ABC%20Draft%20-%20Final%20draft%20-%20with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A"/>
      <sheetName val="E&amp;G"/>
      <sheetName val="Auxiliary"/>
      <sheetName val="Restricted"/>
      <sheetName val="Table B"/>
      <sheetName val="Table C"/>
      <sheetName val="Rev Recon"/>
      <sheetName val="FY22 new funding"/>
      <sheetName val="Table A (Boulder) actual"/>
    </sheetNames>
    <sheetDataSet>
      <sheetData sheetId="0"/>
      <sheetData sheetId="1">
        <row r="9">
          <cell r="B9">
            <v>17576926</v>
          </cell>
          <cell r="C9">
            <v>17576926</v>
          </cell>
          <cell r="F9">
            <v>42293747</v>
          </cell>
        </row>
        <row r="10">
          <cell r="B10">
            <v>253902787</v>
          </cell>
          <cell r="C10">
            <v>256288629</v>
          </cell>
          <cell r="F10">
            <v>268357278</v>
          </cell>
        </row>
        <row r="11">
          <cell r="B11">
            <v>512752735</v>
          </cell>
          <cell r="C11">
            <v>495877334</v>
          </cell>
          <cell r="F11">
            <v>508982102</v>
          </cell>
        </row>
        <row r="12">
          <cell r="B12">
            <v>0</v>
          </cell>
          <cell r="C12">
            <v>0</v>
          </cell>
          <cell r="F12">
            <v>0</v>
          </cell>
        </row>
        <row r="13">
          <cell r="B13">
            <v>10392341</v>
          </cell>
          <cell r="C13">
            <v>7144956</v>
          </cell>
          <cell r="F13">
            <v>8892341</v>
          </cell>
        </row>
        <row r="15">
          <cell r="B15"/>
          <cell r="C15"/>
          <cell r="F15"/>
        </row>
        <row r="16">
          <cell r="B16"/>
          <cell r="C16"/>
        </row>
        <row r="17">
          <cell r="B17"/>
          <cell r="C17"/>
          <cell r="F17"/>
        </row>
        <row r="18">
          <cell r="B18"/>
          <cell r="C18"/>
          <cell r="F18"/>
        </row>
        <row r="19">
          <cell r="B19"/>
          <cell r="C19"/>
          <cell r="F19"/>
        </row>
        <row r="20">
          <cell r="B20">
            <v>20747242</v>
          </cell>
          <cell r="C20">
            <v>20747242</v>
          </cell>
          <cell r="F20">
            <v>56460058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B25">
            <v>0</v>
          </cell>
          <cell r="C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F26">
            <v>0</v>
          </cell>
        </row>
        <row r="27">
          <cell r="F27">
            <v>0</v>
          </cell>
        </row>
        <row r="29">
          <cell r="B29"/>
          <cell r="C29"/>
          <cell r="F29"/>
        </row>
        <row r="30">
          <cell r="B30"/>
          <cell r="C30"/>
          <cell r="F30"/>
        </row>
        <row r="31">
          <cell r="B31"/>
          <cell r="C31"/>
          <cell r="F31"/>
        </row>
        <row r="32">
          <cell r="B32"/>
          <cell r="C32"/>
        </row>
        <row r="33">
          <cell r="B33"/>
          <cell r="C33"/>
        </row>
        <row r="34">
          <cell r="B34">
            <v>70004203</v>
          </cell>
          <cell r="C34">
            <v>70004203</v>
          </cell>
          <cell r="F34">
            <v>72357919</v>
          </cell>
        </row>
        <row r="35">
          <cell r="B35"/>
          <cell r="C35"/>
        </row>
        <row r="36">
          <cell r="B36">
            <v>5819487</v>
          </cell>
          <cell r="C36">
            <v>6625151</v>
          </cell>
          <cell r="F36">
            <v>6019487</v>
          </cell>
        </row>
        <row r="37">
          <cell r="B37">
            <v>891195721</v>
          </cell>
          <cell r="C37">
            <v>874264441</v>
          </cell>
          <cell r="F37">
            <v>963362932</v>
          </cell>
        </row>
        <row r="41">
          <cell r="B41">
            <v>477856360</v>
          </cell>
          <cell r="C41">
            <v>468440950.03631997</v>
          </cell>
          <cell r="F41">
            <v>503331488</v>
          </cell>
        </row>
        <row r="42">
          <cell r="B42">
            <v>5007328</v>
          </cell>
          <cell r="C42">
            <v>4891905.9059123192</v>
          </cell>
          <cell r="F42">
            <v>10778229</v>
          </cell>
        </row>
        <row r="43">
          <cell r="B43">
            <v>434903</v>
          </cell>
          <cell r="C43">
            <v>406109.25651759293</v>
          </cell>
          <cell r="F43">
            <v>382046</v>
          </cell>
        </row>
        <row r="44">
          <cell r="B44">
            <v>110513145</v>
          </cell>
          <cell r="C44">
            <v>107807502.03247949</v>
          </cell>
          <cell r="F44">
            <v>135231365</v>
          </cell>
        </row>
        <row r="45">
          <cell r="B45">
            <v>44886811</v>
          </cell>
          <cell r="C45">
            <v>43946904.932474874</v>
          </cell>
          <cell r="F45">
            <v>51269900</v>
          </cell>
        </row>
        <row r="46">
          <cell r="B46">
            <v>86598061</v>
          </cell>
          <cell r="C46">
            <v>84822547.124351725</v>
          </cell>
          <cell r="F46">
            <v>87347798</v>
          </cell>
        </row>
        <row r="47">
          <cell r="B47">
            <v>89142549</v>
          </cell>
          <cell r="C47">
            <v>87191957.711944014</v>
          </cell>
          <cell r="F47">
            <v>95827218</v>
          </cell>
        </row>
        <row r="48">
          <cell r="B48">
            <v>76756565</v>
          </cell>
          <cell r="C48">
            <v>76756565</v>
          </cell>
          <cell r="F48">
            <v>79194890</v>
          </cell>
        </row>
        <row r="49">
          <cell r="B49"/>
          <cell r="C49"/>
          <cell r="F49"/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B55">
            <v>0</v>
          </cell>
          <cell r="C55">
            <v>0</v>
          </cell>
          <cell r="F55">
            <v>0</v>
          </cell>
        </row>
        <row r="56">
          <cell r="B56">
            <v>0</v>
          </cell>
          <cell r="C56">
            <v>0</v>
          </cell>
          <cell r="F56">
            <v>0</v>
          </cell>
        </row>
        <row r="57">
          <cell r="F57">
            <v>0</v>
          </cell>
        </row>
        <row r="58">
          <cell r="B58">
            <v>891195722</v>
          </cell>
          <cell r="C58">
            <v>874264442</v>
          </cell>
        </row>
        <row r="61">
          <cell r="B61"/>
          <cell r="C61"/>
        </row>
        <row r="62">
          <cell r="B62">
            <v>0</v>
          </cell>
          <cell r="C62">
            <v>0</v>
          </cell>
          <cell r="F62">
            <v>0</v>
          </cell>
        </row>
        <row r="63">
          <cell r="B63">
            <v>0</v>
          </cell>
          <cell r="C63">
            <v>0</v>
          </cell>
          <cell r="F63">
            <v>0</v>
          </cell>
        </row>
        <row r="64">
          <cell r="B64">
            <v>0</v>
          </cell>
          <cell r="C64">
            <v>0</v>
          </cell>
          <cell r="F64">
            <v>0</v>
          </cell>
        </row>
        <row r="68">
          <cell r="B68">
            <v>0</v>
          </cell>
          <cell r="C68"/>
          <cell r="F68">
            <v>0</v>
          </cell>
        </row>
        <row r="69">
          <cell r="B69">
            <v>0</v>
          </cell>
          <cell r="C69"/>
          <cell r="F69">
            <v>0</v>
          </cell>
        </row>
        <row r="71">
          <cell r="F71">
            <v>963362934</v>
          </cell>
        </row>
        <row r="73">
          <cell r="C73">
            <v>0</v>
          </cell>
          <cell r="F73">
            <v>0</v>
          </cell>
        </row>
        <row r="74">
          <cell r="C74">
            <v>0</v>
          </cell>
          <cell r="F74">
            <v>0</v>
          </cell>
        </row>
        <row r="75">
          <cell r="C75">
            <v>0</v>
          </cell>
          <cell r="F75">
            <v>0</v>
          </cell>
        </row>
        <row r="76">
          <cell r="C76">
            <v>0</v>
          </cell>
          <cell r="F76">
            <v>0</v>
          </cell>
        </row>
        <row r="77">
          <cell r="C77">
            <v>0</v>
          </cell>
          <cell r="F77">
            <v>0</v>
          </cell>
        </row>
        <row r="78">
          <cell r="C78">
            <v>0</v>
          </cell>
          <cell r="F78">
            <v>0</v>
          </cell>
        </row>
        <row r="79">
          <cell r="C79">
            <v>0</v>
          </cell>
          <cell r="F79">
            <v>0</v>
          </cell>
        </row>
      </sheetData>
      <sheetData sheetId="2">
        <row r="9">
          <cell r="B9"/>
          <cell r="C9"/>
          <cell r="D9"/>
        </row>
        <row r="10">
          <cell r="B10"/>
          <cell r="C10"/>
          <cell r="D10"/>
        </row>
        <row r="11">
          <cell r="B11"/>
          <cell r="C11"/>
          <cell r="D11"/>
        </row>
        <row r="12">
          <cell r="B12">
            <v>35703795</v>
          </cell>
          <cell r="C12">
            <v>35257470</v>
          </cell>
          <cell r="D12">
            <v>35610044.700000003</v>
          </cell>
        </row>
        <row r="13">
          <cell r="B13">
            <v>53120154</v>
          </cell>
          <cell r="C13">
            <v>49420849</v>
          </cell>
          <cell r="D13">
            <v>53484861</v>
          </cell>
        </row>
        <row r="15">
          <cell r="B15"/>
          <cell r="C15"/>
          <cell r="D15"/>
        </row>
        <row r="16">
          <cell r="B16"/>
          <cell r="C16"/>
        </row>
        <row r="17">
          <cell r="B17"/>
          <cell r="C17"/>
          <cell r="D17"/>
        </row>
        <row r="18">
          <cell r="B18"/>
          <cell r="C18"/>
          <cell r="D18"/>
        </row>
        <row r="19">
          <cell r="B19"/>
          <cell r="C19"/>
          <cell r="D19"/>
        </row>
        <row r="20">
          <cell r="B20"/>
          <cell r="C20"/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B25"/>
          <cell r="C25"/>
          <cell r="D25"/>
        </row>
        <row r="26">
          <cell r="B26"/>
          <cell r="C26"/>
          <cell r="D26"/>
        </row>
        <row r="27">
          <cell r="D27"/>
        </row>
        <row r="29">
          <cell r="B29"/>
          <cell r="C29"/>
          <cell r="D29"/>
        </row>
        <row r="30">
          <cell r="B30">
            <v>30172689</v>
          </cell>
          <cell r="C30">
            <v>17386985</v>
          </cell>
          <cell r="D30">
            <v>27890367</v>
          </cell>
        </row>
        <row r="31">
          <cell r="B31">
            <v>221755483</v>
          </cell>
          <cell r="C31">
            <v>138168263</v>
          </cell>
          <cell r="D31">
            <v>225722724</v>
          </cell>
        </row>
        <row r="32">
          <cell r="B32"/>
          <cell r="C32"/>
        </row>
        <row r="33">
          <cell r="B33"/>
          <cell r="C33"/>
        </row>
        <row r="34">
          <cell r="B34">
            <v>31030975</v>
          </cell>
          <cell r="C34">
            <v>38749951.996066034</v>
          </cell>
          <cell r="D34">
            <v>40690232.062155724</v>
          </cell>
        </row>
        <row r="35">
          <cell r="B35"/>
          <cell r="C35"/>
        </row>
        <row r="36">
          <cell r="B36">
            <v>18697158</v>
          </cell>
          <cell r="C36">
            <v>13556961</v>
          </cell>
          <cell r="D36">
            <v>21378947</v>
          </cell>
        </row>
        <row r="37">
          <cell r="C37">
            <v>292540479.99606603</v>
          </cell>
          <cell r="D37">
            <v>404777175.76215571</v>
          </cell>
        </row>
        <row r="41">
          <cell r="B41">
            <v>40369966</v>
          </cell>
          <cell r="C41">
            <v>34859473</v>
          </cell>
          <cell r="D41">
            <v>41177365.32</v>
          </cell>
        </row>
        <row r="42">
          <cell r="B42">
            <v>340842</v>
          </cell>
          <cell r="C42">
            <v>112887</v>
          </cell>
          <cell r="D42">
            <v>391968.3</v>
          </cell>
        </row>
        <row r="43">
          <cell r="B43">
            <v>4900568</v>
          </cell>
          <cell r="C43">
            <v>3983807</v>
          </cell>
          <cell r="D43">
            <v>5635653.1999999993</v>
          </cell>
        </row>
        <row r="44">
          <cell r="B44">
            <v>14270268</v>
          </cell>
          <cell r="C44">
            <v>18211069</v>
          </cell>
          <cell r="D44">
            <v>16410808.199999999</v>
          </cell>
        </row>
        <row r="45">
          <cell r="B45">
            <v>45464422</v>
          </cell>
          <cell r="C45">
            <v>53238431</v>
          </cell>
          <cell r="D45">
            <v>52284085.299999997</v>
          </cell>
        </row>
        <row r="46">
          <cell r="B46">
            <v>7724257</v>
          </cell>
          <cell r="C46">
            <v>7946548</v>
          </cell>
          <cell r="D46">
            <v>8882895.5499999989</v>
          </cell>
        </row>
        <row r="47">
          <cell r="B47">
            <v>0</v>
          </cell>
          <cell r="C47">
            <v>0</v>
          </cell>
          <cell r="D47"/>
        </row>
        <row r="48">
          <cell r="B48">
            <v>10145363</v>
          </cell>
          <cell r="C48">
            <v>9107414</v>
          </cell>
          <cell r="D48">
            <v>10652631.15</v>
          </cell>
        </row>
        <row r="49">
          <cell r="B49">
            <v>168990927</v>
          </cell>
          <cell r="C49">
            <v>132253233</v>
          </cell>
          <cell r="D49">
            <v>191156381.18205035</v>
          </cell>
        </row>
        <row r="51">
          <cell r="D51"/>
        </row>
        <row r="52">
          <cell r="D52"/>
        </row>
        <row r="53">
          <cell r="D53"/>
        </row>
        <row r="54">
          <cell r="D54"/>
        </row>
        <row r="55">
          <cell r="B55"/>
          <cell r="C55"/>
          <cell r="D55"/>
        </row>
        <row r="56">
          <cell r="B56"/>
          <cell r="C56"/>
          <cell r="D56"/>
        </row>
        <row r="57">
          <cell r="D57"/>
        </row>
        <row r="61">
          <cell r="B61"/>
          <cell r="C61"/>
        </row>
        <row r="62">
          <cell r="B62">
            <v>72095662</v>
          </cell>
          <cell r="C62">
            <v>26512209</v>
          </cell>
          <cell r="D62">
            <v>45992613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8">
          <cell r="B68"/>
          <cell r="C68"/>
          <cell r="D68"/>
        </row>
        <row r="69">
          <cell r="B69">
            <v>26177979</v>
          </cell>
          <cell r="C69">
            <v>6315408.9960660338</v>
          </cell>
          <cell r="D69">
            <v>32192775</v>
          </cell>
        </row>
        <row r="71">
          <cell r="B71">
            <v>390480254</v>
          </cell>
          <cell r="C71">
            <v>292540479.99606603</v>
          </cell>
          <cell r="D71">
            <v>404777176.20205033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C79">
            <v>0</v>
          </cell>
          <cell r="D79">
            <v>0</v>
          </cell>
        </row>
      </sheetData>
      <sheetData sheetId="3">
        <row r="9">
          <cell r="B9"/>
          <cell r="C9"/>
          <cell r="D9"/>
        </row>
        <row r="10">
          <cell r="B10"/>
          <cell r="C10"/>
          <cell r="D10"/>
        </row>
        <row r="11">
          <cell r="B11"/>
          <cell r="C11"/>
          <cell r="D11"/>
        </row>
        <row r="12">
          <cell r="B12"/>
          <cell r="C12"/>
          <cell r="D12"/>
        </row>
        <row r="13">
          <cell r="B13"/>
          <cell r="C13"/>
          <cell r="D13"/>
        </row>
        <row r="15">
          <cell r="B15">
            <v>170945</v>
          </cell>
          <cell r="C15">
            <v>43622</v>
          </cell>
          <cell r="D15">
            <v>107283.5</v>
          </cell>
        </row>
        <row r="16">
          <cell r="B16"/>
          <cell r="C16"/>
        </row>
        <row r="17">
          <cell r="B17">
            <v>317030346</v>
          </cell>
          <cell r="C17">
            <v>350756536</v>
          </cell>
          <cell r="D17">
            <v>364436040.90399998</v>
          </cell>
        </row>
        <row r="18">
          <cell r="B18">
            <v>4291668</v>
          </cell>
          <cell r="C18">
            <v>2993846</v>
          </cell>
          <cell r="D18">
            <v>3110605.9939999999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3">
          <cell r="D23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D27">
            <v>0</v>
          </cell>
        </row>
        <row r="29">
          <cell r="B29">
            <v>191231006</v>
          </cell>
          <cell r="C29">
            <v>201331862</v>
          </cell>
          <cell r="D29">
            <v>203345180.62</v>
          </cell>
        </row>
        <row r="30">
          <cell r="B30"/>
          <cell r="C30">
            <v>0</v>
          </cell>
          <cell r="D30">
            <v>0</v>
          </cell>
        </row>
        <row r="31">
          <cell r="B31"/>
          <cell r="C31">
            <v>0</v>
          </cell>
          <cell r="D31">
            <v>0</v>
          </cell>
        </row>
        <row r="32">
          <cell r="B32"/>
          <cell r="C32">
            <v>0</v>
          </cell>
        </row>
        <row r="33">
          <cell r="B33"/>
          <cell r="C33"/>
        </row>
        <row r="34">
          <cell r="B34"/>
          <cell r="C34">
            <v>0</v>
          </cell>
          <cell r="D34">
            <v>0</v>
          </cell>
        </row>
        <row r="35">
          <cell r="B35"/>
          <cell r="C35">
            <v>0</v>
          </cell>
        </row>
        <row r="36">
          <cell r="B36"/>
          <cell r="C36">
            <v>0</v>
          </cell>
          <cell r="D36">
            <v>0</v>
          </cell>
        </row>
        <row r="37">
          <cell r="B37">
            <v>512723965</v>
          </cell>
          <cell r="C37">
            <v>555125866</v>
          </cell>
        </row>
        <row r="41">
          <cell r="B41">
            <v>58359706</v>
          </cell>
          <cell r="C41">
            <v>60110497.18</v>
          </cell>
          <cell r="D41">
            <v>61312707.123599999</v>
          </cell>
        </row>
        <row r="42">
          <cell r="B42">
            <v>383146018</v>
          </cell>
          <cell r="C42">
            <v>402998859.62</v>
          </cell>
          <cell r="D42">
            <v>415829564.40860003</v>
          </cell>
        </row>
        <row r="43">
          <cell r="B43">
            <v>9252851</v>
          </cell>
          <cell r="C43">
            <v>11432950</v>
          </cell>
          <cell r="D43">
            <v>11661609</v>
          </cell>
        </row>
        <row r="44">
          <cell r="B44">
            <v>2426838</v>
          </cell>
          <cell r="C44">
            <v>4420622</v>
          </cell>
          <cell r="D44">
            <v>4509034.4400000004</v>
          </cell>
        </row>
        <row r="45">
          <cell r="B45">
            <v>927382</v>
          </cell>
          <cell r="C45">
            <v>3489996</v>
          </cell>
          <cell r="D45">
            <v>3559795.92</v>
          </cell>
        </row>
        <row r="46">
          <cell r="B46">
            <v>1835813</v>
          </cell>
          <cell r="C46">
            <v>0</v>
          </cell>
          <cell r="D46">
            <v>0</v>
          </cell>
        </row>
        <row r="47">
          <cell r="B47">
            <v>0</v>
          </cell>
          <cell r="C47">
            <v>14255085</v>
          </cell>
          <cell r="D47">
            <v>14540186.700000001</v>
          </cell>
        </row>
        <row r="48">
          <cell r="B48">
            <v>53665492</v>
          </cell>
          <cell r="C48">
            <v>55059202</v>
          </cell>
          <cell r="D48">
            <v>56160386.039999999</v>
          </cell>
        </row>
        <row r="49">
          <cell r="B49">
            <v>3109865</v>
          </cell>
          <cell r="C49">
            <v>3358654.2</v>
          </cell>
          <cell r="D49">
            <v>3425827.2840000005</v>
          </cell>
        </row>
        <row r="53">
          <cell r="D53">
            <v>0</v>
          </cell>
        </row>
        <row r="55">
          <cell r="B55">
            <v>0</v>
          </cell>
          <cell r="C55">
            <v>0</v>
          </cell>
        </row>
        <row r="56">
          <cell r="B56">
            <v>0</v>
          </cell>
          <cell r="C56">
            <v>0</v>
          </cell>
        </row>
        <row r="57">
          <cell r="D57">
            <v>0</v>
          </cell>
        </row>
        <row r="58">
          <cell r="D58">
            <v>570999110.91620004</v>
          </cell>
        </row>
        <row r="61">
          <cell r="B61"/>
          <cell r="C61"/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8">
          <cell r="B68">
            <v>0</v>
          </cell>
          <cell r="C68"/>
          <cell r="D68">
            <v>0</v>
          </cell>
        </row>
        <row r="69">
          <cell r="B69">
            <v>0</v>
          </cell>
          <cell r="C69"/>
          <cell r="D69">
            <v>0</v>
          </cell>
        </row>
        <row r="71">
          <cell r="B71">
            <v>512723965</v>
          </cell>
          <cell r="C71">
            <v>555125866</v>
          </cell>
          <cell r="D71">
            <v>570999110.91620004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C79">
            <v>0</v>
          </cell>
          <cell r="D79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T13" totalsRowShown="0" headerRowDxfId="21" headerRowBorderDxfId="20" tableBorderDxfId="19" totalsRowBorderDxfId="18">
  <tableColumns count="20">
    <tableColumn id="1" xr3:uid="{00000000-0010-0000-0000-000001000000}" name="Revenue Category" dataDxfId="17"/>
    <tableColumn id="2" xr3:uid="{00000000-0010-0000-0000-000002000000}" name="FY07" dataDxfId="16" dataCellStyle="Percent"/>
    <tableColumn id="3" xr3:uid="{00000000-0010-0000-0000-000003000000}" name="FY08" dataDxfId="15" dataCellStyle="Percent"/>
    <tableColumn id="4" xr3:uid="{00000000-0010-0000-0000-000004000000}" name="FY09" dataDxfId="14" dataCellStyle="Percent"/>
    <tableColumn id="5" xr3:uid="{00000000-0010-0000-0000-000005000000}" name="FY10" dataDxfId="13" dataCellStyle="Percent"/>
    <tableColumn id="6" xr3:uid="{00000000-0010-0000-0000-000006000000}" name="FY11" dataDxfId="12" dataCellStyle="Percent"/>
    <tableColumn id="7" xr3:uid="{00000000-0010-0000-0000-000007000000}" name="FY12" dataDxfId="11" dataCellStyle="Percent"/>
    <tableColumn id="8" xr3:uid="{00000000-0010-0000-0000-000008000000}" name="FY13" dataDxfId="10" dataCellStyle="Percent"/>
    <tableColumn id="9" xr3:uid="{00000000-0010-0000-0000-000009000000}" name="FY14" dataDxfId="9" dataCellStyle="Percent"/>
    <tableColumn id="10" xr3:uid="{00000000-0010-0000-0000-00000A000000}" name="FY15" dataDxfId="8" dataCellStyle="Percent"/>
    <tableColumn id="11" xr3:uid="{00000000-0010-0000-0000-00000B000000}" name="FY16" dataDxfId="7" dataCellStyle="Percent"/>
    <tableColumn id="12" xr3:uid="{00000000-0010-0000-0000-00000C000000}" name="FY17" dataDxfId="6" dataCellStyle="Percent"/>
    <tableColumn id="13" xr3:uid="{00000000-0010-0000-0000-00000D000000}" name="FY18" dataDxfId="5" dataCellStyle="Percent"/>
    <tableColumn id="14" xr3:uid="{00000000-0010-0000-0000-00000E000000}" name="FY19" dataDxfId="4" dataCellStyle="Percent"/>
    <tableColumn id="15" xr3:uid="{00000000-0010-0000-0000-00000F000000}" name="FY20" dataDxfId="3" dataCellStyle="Percent"/>
    <tableColumn id="16" xr3:uid="{00000000-0010-0000-0000-000010000000}" name="FY21" dataDxfId="2" dataCellStyle="Percent"/>
    <tableColumn id="17" xr3:uid="{00000000-0010-0000-0000-000011000000}" name="FY22" dataDxfId="1"/>
    <tableColumn id="18" xr3:uid="{00000000-0010-0000-0000-000012000000}" name="FY23" dataDxfId="0"/>
    <tableColumn id="20" xr3:uid="{069CF0B3-0A7B-42FD-8C76-D3E38125CDB8}" name="FY24"/>
    <tableColumn id="19" xr3:uid="{EB3DCA6B-CAC1-4BA5-855F-4239BE1FF882}" name="FY 25 Estimate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CU Boulder current funds revenue breakout FY2007 - FY2020" altTextSummary="Shows percentage distribution by revenue category type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FP@colorado.edu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zoomScale="99" zoomScaleNormal="99" workbookViewId="0">
      <selection activeCell="O22" sqref="O22"/>
    </sheetView>
  </sheetViews>
  <sheetFormatPr defaultRowHeight="13.2" x14ac:dyDescent="0.25"/>
  <sheetData>
    <row r="1" spans="1:17" ht="46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"/>
  <sheetViews>
    <sheetView tabSelected="1" workbookViewId="0">
      <selection activeCell="A20" sqref="A20"/>
    </sheetView>
  </sheetViews>
  <sheetFormatPr defaultRowHeight="13.2" x14ac:dyDescent="0.25"/>
  <cols>
    <col min="1" max="1" width="34.33203125" customWidth="1"/>
    <col min="2" max="14" width="9.5546875" bestFit="1" customWidth="1"/>
    <col min="15" max="16" width="9.88671875" bestFit="1" customWidth="1"/>
    <col min="17" max="17" width="8.5546875" customWidth="1"/>
    <col min="18" max="19" width="11.109375" customWidth="1"/>
    <col min="20" max="20" width="14" bestFit="1" customWidth="1"/>
  </cols>
  <sheetData>
    <row r="1" spans="1:20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0" x14ac:dyDescent="0.25">
      <c r="A2" s="19" t="s">
        <v>117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0" x14ac:dyDescent="0.25">
      <c r="A3" s="19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20" x14ac:dyDescent="0.25">
      <c r="A5" s="24" t="s">
        <v>20</v>
      </c>
      <c r="B5" s="25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15</v>
      </c>
      <c r="I5" s="26" t="s">
        <v>16</v>
      </c>
      <c r="J5" s="26" t="s">
        <v>17</v>
      </c>
      <c r="K5" s="26" t="s">
        <v>18</v>
      </c>
      <c r="L5" s="26" t="s">
        <v>19</v>
      </c>
      <c r="M5" s="26" t="s">
        <v>21</v>
      </c>
      <c r="N5" s="26" t="s">
        <v>23</v>
      </c>
      <c r="O5" s="27" t="s">
        <v>24</v>
      </c>
      <c r="P5" s="26" t="s">
        <v>25</v>
      </c>
      <c r="Q5" s="26" t="s">
        <v>28</v>
      </c>
      <c r="R5" s="26" t="s">
        <v>109</v>
      </c>
      <c r="S5" s="26" t="s">
        <v>112</v>
      </c>
      <c r="T5" s="26" t="s">
        <v>116</v>
      </c>
    </row>
    <row r="6" spans="1:20" x14ac:dyDescent="0.25">
      <c r="A6" s="22" t="s">
        <v>7</v>
      </c>
      <c r="B6" s="13">
        <v>3.4353903215271653E-2</v>
      </c>
      <c r="C6" s="13">
        <v>3.9246633517582438E-2</v>
      </c>
      <c r="D6" s="13">
        <v>2.9536701253907543E-2</v>
      </c>
      <c r="E6" s="13">
        <v>1.2425123633436041E-2</v>
      </c>
      <c r="F6" s="13">
        <v>3.9008606198204919E-2</v>
      </c>
      <c r="G6" s="13">
        <v>2.2843997788465045E-2</v>
      </c>
      <c r="H6" s="13">
        <v>2.1727044856207689E-2</v>
      </c>
      <c r="I6" s="13">
        <v>2.2844154373725136E-2</v>
      </c>
      <c r="J6" s="13">
        <v>2.262598437913859E-2</v>
      </c>
      <c r="K6" s="14">
        <v>2.4285647530684757E-2</v>
      </c>
      <c r="L6" s="14">
        <v>2.2990589084213559E-2</v>
      </c>
      <c r="M6" s="17">
        <v>2.29E-2</v>
      </c>
      <c r="N6" s="17">
        <v>2.4458196065111962E-2</v>
      </c>
      <c r="O6" s="23">
        <v>2.6264914196353208E-2</v>
      </c>
      <c r="P6" s="32">
        <v>1.1560176722957644E-2</v>
      </c>
      <c r="Q6" s="32">
        <v>2.7294129049942856E-2</v>
      </c>
      <c r="R6" s="32">
        <v>2.5772285917104235E-2</v>
      </c>
      <c r="S6" s="32">
        <v>2.6984233110026415E-2</v>
      </c>
      <c r="T6" s="32">
        <v>3.011315473672703E-2</v>
      </c>
    </row>
    <row r="7" spans="1:20" x14ac:dyDescent="0.25">
      <c r="A7" s="22" t="s">
        <v>8</v>
      </c>
      <c r="B7" s="13">
        <v>4.5788641087095024E-2</v>
      </c>
      <c r="C7" s="13">
        <v>4.3395973533302969E-2</v>
      </c>
      <c r="D7" s="13">
        <v>3.1484858120035278E-2</v>
      </c>
      <c r="E7" s="13">
        <v>1.8673876798163635E-2</v>
      </c>
      <c r="F7" s="13">
        <v>2.2657932589098661E-2</v>
      </c>
      <c r="G7" s="13">
        <v>2.2292557467448043E-2</v>
      </c>
      <c r="H7" s="13">
        <v>2.0966276391732579E-2</v>
      </c>
      <c r="I7" s="13">
        <v>2.1199588292248602E-2</v>
      </c>
      <c r="J7" s="13">
        <v>2.2868843480576568E-2</v>
      </c>
      <c r="K7" s="14">
        <v>2.1200839161209763E-2</v>
      </c>
      <c r="L7" s="14">
        <v>1.9891247740070814E-2</v>
      </c>
      <c r="M7" s="17">
        <v>1.9400000000000001E-2</v>
      </c>
      <c r="N7" s="17">
        <v>2.0384137768396281E-2</v>
      </c>
      <c r="O7" s="23">
        <v>2.1831876690808754E-2</v>
      </c>
      <c r="P7" s="32">
        <v>9.7937051491638755E-3</v>
      </c>
      <c r="Q7" s="32">
        <v>2.0445798844620982E-2</v>
      </c>
      <c r="R7" s="32">
        <v>2.2175454820373013E-2</v>
      </c>
      <c r="S7" s="32">
        <v>2.0710957324543554E-2</v>
      </c>
      <c r="T7" s="32">
        <v>2.0508153571958586E-2</v>
      </c>
    </row>
    <row r="8" spans="1:20" x14ac:dyDescent="0.25">
      <c r="A8" s="22" t="s">
        <v>9</v>
      </c>
      <c r="B8" s="13">
        <v>0.39214358237397584</v>
      </c>
      <c r="C8" s="13">
        <v>0.40130266571136802</v>
      </c>
      <c r="D8" s="13">
        <v>0.4119682855317307</v>
      </c>
      <c r="E8" s="13">
        <v>0.40735591578127178</v>
      </c>
      <c r="F8" s="13">
        <v>0.41062607596551653</v>
      </c>
      <c r="G8" s="13">
        <v>0.42754044563136906</v>
      </c>
      <c r="H8" s="13">
        <v>0.41936736253361984</v>
      </c>
      <c r="I8" s="13">
        <v>0.43402879048029586</v>
      </c>
      <c r="J8" s="13">
        <v>0.43092080463012611</v>
      </c>
      <c r="K8" s="14">
        <v>0.44020425388340934</v>
      </c>
      <c r="L8" s="14">
        <v>0.44054865294813522</v>
      </c>
      <c r="M8" s="17">
        <v>0.44550000000000001</v>
      </c>
      <c r="N8" s="17">
        <v>0.44599812617872753</v>
      </c>
      <c r="O8" s="23">
        <v>0.45226901017933074</v>
      </c>
      <c r="P8" s="32">
        <v>0.47026321587969905</v>
      </c>
      <c r="Q8" s="32">
        <v>0.43226936082074324</v>
      </c>
      <c r="R8" s="32">
        <v>0.43640006820626681</v>
      </c>
      <c r="S8" s="32">
        <v>0.41969229343723974</v>
      </c>
      <c r="T8" s="32">
        <v>0.4184374941012281</v>
      </c>
    </row>
    <row r="9" spans="1:20" x14ac:dyDescent="0.25">
      <c r="A9" s="22" t="s">
        <v>10</v>
      </c>
      <c r="B9" s="13">
        <v>0.22134495874448321</v>
      </c>
      <c r="C9" s="13">
        <v>0.20530391070889864</v>
      </c>
      <c r="D9" s="13">
        <v>0.19793796514178191</v>
      </c>
      <c r="E9" s="13">
        <v>0.2142152581624959</v>
      </c>
      <c r="F9" s="13">
        <v>0.22208538715717674</v>
      </c>
      <c r="G9" s="13">
        <v>0.22570679235731531</v>
      </c>
      <c r="H9" s="13">
        <v>0.20963384916944416</v>
      </c>
      <c r="I9" s="13">
        <v>0.20776232579150727</v>
      </c>
      <c r="J9" s="13">
        <v>0.21081964085369925</v>
      </c>
      <c r="K9" s="14">
        <v>0.20326626070985124</v>
      </c>
      <c r="L9" s="14">
        <v>0.2028902023019305</v>
      </c>
      <c r="M9" s="17">
        <v>0.1734</v>
      </c>
      <c r="N9" s="17">
        <v>0.17251762095659778</v>
      </c>
      <c r="O9" s="23">
        <v>0.16550881129241921</v>
      </c>
      <c r="P9" s="32">
        <v>0.19543838852857912</v>
      </c>
      <c r="Q9" s="32">
        <v>0.19579691322252024</v>
      </c>
      <c r="R9" s="32">
        <v>0.19714942755059228</v>
      </c>
      <c r="S9" s="32">
        <v>0.19530458627756608</v>
      </c>
      <c r="T9" s="32">
        <v>0.19574012379444458</v>
      </c>
    </row>
    <row r="10" spans="1:20" x14ac:dyDescent="0.25">
      <c r="A10" s="22" t="s">
        <v>11</v>
      </c>
      <c r="B10" s="13">
        <v>0.30636891457917431</v>
      </c>
      <c r="C10" s="13">
        <v>0.31075081652884795</v>
      </c>
      <c r="D10" s="13">
        <v>0.30775564388462207</v>
      </c>
      <c r="E10" s="13">
        <v>0.30274172785811215</v>
      </c>
      <c r="F10" s="13">
        <v>0.301425552200837</v>
      </c>
      <c r="G10" s="13">
        <v>0.30161620675540252</v>
      </c>
      <c r="H10" s="13">
        <v>0.32830546704899571</v>
      </c>
      <c r="I10" s="13">
        <v>0.31416514106222315</v>
      </c>
      <c r="J10" s="13">
        <v>0.31276472665645949</v>
      </c>
      <c r="K10" s="14">
        <v>0.31104299871484492</v>
      </c>
      <c r="L10" s="14">
        <v>0.31367930792564991</v>
      </c>
      <c r="M10" s="17">
        <v>0.33889999999999998</v>
      </c>
      <c r="N10" s="17">
        <v>0.33664191903116641</v>
      </c>
      <c r="O10" s="23">
        <v>0.29879483966138798</v>
      </c>
      <c r="P10" s="32">
        <v>0.27238886793408035</v>
      </c>
      <c r="Q10" s="32">
        <v>0.31133536289129421</v>
      </c>
      <c r="R10" s="32">
        <v>0.31850276350566364</v>
      </c>
      <c r="S10" s="32">
        <v>0.33730792985062419</v>
      </c>
      <c r="T10" s="32">
        <v>0.33520107379564179</v>
      </c>
    </row>
    <row r="11" spans="1:20" x14ac:dyDescent="0.25">
      <c r="A11" s="22" t="s">
        <v>106</v>
      </c>
      <c r="B11" s="13" t="s">
        <v>22</v>
      </c>
      <c r="C11" s="13" t="s">
        <v>22</v>
      </c>
      <c r="D11" s="13">
        <v>2.1316546067922496E-2</v>
      </c>
      <c r="E11" s="13">
        <v>4.4588097766520493E-2</v>
      </c>
      <c r="F11" s="13">
        <v>4.1964458891661097E-3</v>
      </c>
      <c r="G11" s="13" t="s">
        <v>22</v>
      </c>
      <c r="H11" s="15" t="s">
        <v>22</v>
      </c>
      <c r="I11" s="15" t="s">
        <v>22</v>
      </c>
      <c r="J11" s="15" t="s">
        <v>22</v>
      </c>
      <c r="K11" s="16" t="s">
        <v>22</v>
      </c>
      <c r="L11" s="15" t="s">
        <v>22</v>
      </c>
      <c r="M11" s="15" t="s">
        <v>22</v>
      </c>
      <c r="N11" s="15" t="s">
        <v>22</v>
      </c>
      <c r="O11" s="33"/>
      <c r="P11" s="23">
        <v>4.0555645785519949E-2</v>
      </c>
      <c r="Q11" s="23">
        <v>1.2858435170878453E-2</v>
      </c>
      <c r="R11" s="15" t="s">
        <v>22</v>
      </c>
      <c r="S11" s="15"/>
      <c r="T11" s="15" t="s">
        <v>22</v>
      </c>
    </row>
    <row r="12" spans="1:20" x14ac:dyDescent="0.25">
      <c r="A12" s="22" t="s">
        <v>30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7"/>
      <c r="N12" s="17"/>
      <c r="O12" s="23">
        <v>3.5330547979700096E-2</v>
      </c>
      <c r="P12" s="34"/>
      <c r="Q12" s="34"/>
      <c r="R12" s="34"/>
      <c r="S12" s="34"/>
      <c r="T12" s="15" t="s">
        <v>22</v>
      </c>
    </row>
    <row r="13" spans="1:20" x14ac:dyDescent="0.25">
      <c r="A13" s="28" t="s">
        <v>13</v>
      </c>
      <c r="B13" s="29">
        <v>904253610</v>
      </c>
      <c r="C13" s="29">
        <v>960997890</v>
      </c>
      <c r="D13" s="29">
        <v>1047910995</v>
      </c>
      <c r="E13" s="29">
        <v>1139996222</v>
      </c>
      <c r="F13" s="29">
        <v>1205823960</v>
      </c>
      <c r="G13" s="29">
        <v>1239419705</v>
      </c>
      <c r="H13" s="29">
        <v>1285918181</v>
      </c>
      <c r="I13" s="29">
        <v>1302030380</v>
      </c>
      <c r="J13" s="29">
        <v>1393137000</v>
      </c>
      <c r="K13" s="29">
        <v>1502743913</v>
      </c>
      <c r="L13" s="30">
        <v>1618231567</v>
      </c>
      <c r="M13" s="30">
        <v>1725228995</v>
      </c>
      <c r="N13" s="30">
        <v>1815071720</v>
      </c>
      <c r="O13" s="31">
        <v>1896523995</v>
      </c>
      <c r="P13" s="31">
        <v>1794716681</v>
      </c>
      <c r="Q13" s="31">
        <v>2068578847</v>
      </c>
      <c r="R13" s="31">
        <v>2135158582</v>
      </c>
      <c r="S13" s="31">
        <v>2358265204</v>
      </c>
      <c r="T13" s="31">
        <v>2447138589.2399998</v>
      </c>
    </row>
    <row r="14" spans="1:20" x14ac:dyDescent="0.25">
      <c r="K14" s="12"/>
    </row>
    <row r="15" spans="1:20" x14ac:dyDescent="0.25">
      <c r="A15" s="6" t="s">
        <v>118</v>
      </c>
      <c r="K15" s="12"/>
    </row>
    <row r="16" spans="1:20" x14ac:dyDescent="0.25">
      <c r="A16" s="250" t="s">
        <v>119</v>
      </c>
    </row>
  </sheetData>
  <sheetProtection formatCells="0" formatColumns="0" formatRows="0" insertColumns="0" insertRows="0" insertHyperlinks="0" deleteColumns="0" deleteRows="0" sort="0" autoFilter="0" pivotTables="0"/>
  <phoneticPr fontId="35" type="noConversion"/>
  <hyperlinks>
    <hyperlink ref="A16" r:id="rId1" xr:uid="{916AB985-EC0E-4667-AC2B-D14323204D90}"/>
  </hyperlinks>
  <pageMargins left="0.75" right="0.75" top="0.5" bottom="0.5" header="0.25" footer="0.27"/>
  <pageSetup scale="32" orientation="portrait" r:id="rId2"/>
  <headerFooter alignWithMargins="0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0"/>
  <sheetViews>
    <sheetView zoomScaleNormal="100" workbookViewId="0">
      <selection activeCell="T12" sqref="T12"/>
    </sheetView>
  </sheetViews>
  <sheetFormatPr defaultRowHeight="13.2" x14ac:dyDescent="0.25"/>
  <cols>
    <col min="1" max="1" width="31.33203125" bestFit="1" customWidth="1"/>
    <col min="6" max="6" width="8.44140625" bestFit="1" customWidth="1"/>
    <col min="8" max="8" width="9.109375" customWidth="1"/>
    <col min="9" max="11" width="10" bestFit="1" customWidth="1"/>
    <col min="12" max="13" width="10.44140625" customWidth="1"/>
    <col min="14" max="14" width="10.6640625" bestFit="1" customWidth="1"/>
    <col min="17" max="17" width="10.6640625" bestFit="1" customWidth="1"/>
    <col min="18" max="18" width="14.109375" bestFit="1" customWidth="1"/>
    <col min="19" max="19" width="13.5546875" bestFit="1" customWidth="1"/>
    <col min="20" max="20" width="13.5546875" customWidth="1"/>
    <col min="21" max="21" width="31" bestFit="1" customWidth="1"/>
    <col min="22" max="22" width="15.5546875" bestFit="1" customWidth="1"/>
    <col min="23" max="23" width="14.44140625" bestFit="1" customWidth="1"/>
  </cols>
  <sheetData>
    <row r="1" spans="1:23" x14ac:dyDescent="0.25">
      <c r="A1" s="6" t="s">
        <v>103</v>
      </c>
    </row>
    <row r="2" spans="1:23" x14ac:dyDescent="0.2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21</v>
      </c>
      <c r="N2" s="1" t="s">
        <v>23</v>
      </c>
      <c r="O2" s="1" t="s">
        <v>24</v>
      </c>
      <c r="P2" s="1" t="s">
        <v>25</v>
      </c>
      <c r="Q2" s="1" t="s">
        <v>28</v>
      </c>
      <c r="R2" s="1" t="s">
        <v>109</v>
      </c>
      <c r="S2" s="1" t="s">
        <v>112</v>
      </c>
      <c r="T2" s="1" t="s">
        <v>113</v>
      </c>
      <c r="U2" s="229" t="s">
        <v>114</v>
      </c>
    </row>
    <row r="3" spans="1:23" x14ac:dyDescent="0.25">
      <c r="A3" t="s">
        <v>7</v>
      </c>
      <c r="B3" s="2">
        <v>28384929</v>
      </c>
      <c r="C3" s="2">
        <v>35971128</v>
      </c>
      <c r="D3" s="2">
        <v>44979003</v>
      </c>
      <c r="E3" s="2">
        <v>30951834</v>
      </c>
      <c r="F3" s="4">
        <v>33.5</v>
      </c>
      <c r="G3" s="4">
        <v>27.8</v>
      </c>
      <c r="H3" s="2">
        <v>26091278</v>
      </c>
      <c r="I3" s="2">
        <v>29570329</v>
      </c>
      <c r="J3" s="2">
        <v>31521096</v>
      </c>
      <c r="K3" s="2">
        <v>37859149</v>
      </c>
      <c r="L3" s="2">
        <v>37204097</v>
      </c>
      <c r="M3" s="2">
        <v>39494292</v>
      </c>
      <c r="N3" s="2">
        <v>44393380</v>
      </c>
      <c r="O3" s="2">
        <v>49812040</v>
      </c>
      <c r="P3" s="2">
        <v>20747242</v>
      </c>
      <c r="Q3" s="2">
        <v>56460058</v>
      </c>
      <c r="R3" s="2">
        <v>55027919</v>
      </c>
      <c r="S3" s="2">
        <v>63635978</v>
      </c>
      <c r="T3" s="2">
        <v>73691063</v>
      </c>
      <c r="U3" s="20">
        <f>T3/$T$12</f>
        <v>3.011315473672703E-2</v>
      </c>
    </row>
    <row r="4" spans="1:23" x14ac:dyDescent="0.25">
      <c r="A4" t="s">
        <v>8</v>
      </c>
      <c r="B4" s="2">
        <v>42687770</v>
      </c>
      <c r="C4" s="2">
        <v>43448243</v>
      </c>
      <c r="D4" s="2">
        <v>41304003</v>
      </c>
      <c r="E4" s="2">
        <v>32993329</v>
      </c>
      <c r="F4" s="4">
        <v>30.4</v>
      </c>
      <c r="G4" s="4">
        <v>28.1</v>
      </c>
      <c r="H4" s="2">
        <v>27368288</v>
      </c>
      <c r="I4" s="2">
        <v>27775962</v>
      </c>
      <c r="J4" s="2">
        <v>31859432</v>
      </c>
      <c r="K4" s="2">
        <v>31859432</v>
      </c>
      <c r="L4" s="2">
        <v>32188645</v>
      </c>
      <c r="M4" s="2">
        <v>33390840</v>
      </c>
      <c r="N4" s="2">
        <v>36998672</v>
      </c>
      <c r="O4" s="2">
        <v>41404678</v>
      </c>
      <c r="P4" s="2">
        <v>17576926</v>
      </c>
      <c r="Q4" s="2">
        <v>42293747</v>
      </c>
      <c r="R4" s="2">
        <v>47348114</v>
      </c>
      <c r="S4" s="2">
        <v>48841930</v>
      </c>
      <c r="T4" s="2">
        <v>50186294</v>
      </c>
      <c r="U4" s="20">
        <f t="shared" ref="U4:U7" si="0">T4/$T$12</f>
        <v>2.0508153571958586E-2</v>
      </c>
    </row>
    <row r="5" spans="1:23" x14ac:dyDescent="0.25">
      <c r="A5" t="s">
        <v>9</v>
      </c>
      <c r="B5" s="2">
        <v>342643584</v>
      </c>
      <c r="C5" s="2">
        <v>379348409</v>
      </c>
      <c r="D5" s="2">
        <v>420266082</v>
      </c>
      <c r="E5" s="2">
        <v>452724861</v>
      </c>
      <c r="F5" s="4">
        <v>493.95538699999997</v>
      </c>
      <c r="G5" s="4">
        <v>526.29999999999995</v>
      </c>
      <c r="H5" s="2">
        <v>549199935</v>
      </c>
      <c r="I5" s="2">
        <v>565009886</v>
      </c>
      <c r="J5" s="2">
        <v>589676013</v>
      </c>
      <c r="K5" s="2">
        <v>634196388</v>
      </c>
      <c r="L5" s="2">
        <v>701519934</v>
      </c>
      <c r="M5" s="2">
        <v>758276678</v>
      </c>
      <c r="N5" s="2">
        <v>805031577</v>
      </c>
      <c r="O5" s="2">
        <v>853868342</v>
      </c>
      <c r="P5" s="2">
        <v>865871812</v>
      </c>
      <c r="Q5" s="2">
        <v>875326627</v>
      </c>
      <c r="R5" s="2">
        <f>SUM('FY23 Table A'!D14:E14)-'FY23 Table A'!D9</f>
        <v>932180184.09000003</v>
      </c>
      <c r="S5" s="2">
        <f>(1019740737-48841930)</f>
        <v>970898807</v>
      </c>
      <c r="T5" s="2">
        <v>1023974539</v>
      </c>
      <c r="U5" s="20">
        <f t="shared" si="0"/>
        <v>0.4184374941012281</v>
      </c>
    </row>
    <row r="6" spans="1:23" x14ac:dyDescent="0.25">
      <c r="A6" t="s">
        <v>10</v>
      </c>
      <c r="B6" s="2">
        <v>207741730</v>
      </c>
      <c r="C6" s="2">
        <v>209783869</v>
      </c>
      <c r="D6" s="2">
        <v>203044685</v>
      </c>
      <c r="E6" s="2">
        <v>214078316</v>
      </c>
      <c r="F6" s="4">
        <v>245.4</v>
      </c>
      <c r="G6" s="4">
        <v>263.2</v>
      </c>
      <c r="H6" s="2">
        <v>274308633</v>
      </c>
      <c r="I6" s="2">
        <v>263241634</v>
      </c>
      <c r="J6" s="2">
        <v>269808303</v>
      </c>
      <c r="K6" s="2">
        <v>293867162</v>
      </c>
      <c r="L6" s="2">
        <v>318961972</v>
      </c>
      <c r="M6" s="2">
        <v>330457432</v>
      </c>
      <c r="N6" s="2">
        <v>306893839</v>
      </c>
      <c r="O6" s="2">
        <v>325657129</v>
      </c>
      <c r="P6" s="2">
        <v>317030346</v>
      </c>
      <c r="Q6" s="2">
        <v>364436040.90399998</v>
      </c>
      <c r="R6" s="2">
        <v>425272420.65000004</v>
      </c>
      <c r="S6" s="2">
        <v>441992569</v>
      </c>
      <c r="T6" s="2">
        <v>479003210.40000004</v>
      </c>
      <c r="U6" s="20">
        <f t="shared" si="0"/>
        <v>0.19574012379444458</v>
      </c>
    </row>
    <row r="7" spans="1:23" x14ac:dyDescent="0.25">
      <c r="A7" t="s">
        <v>11</v>
      </c>
      <c r="B7" s="2">
        <v>259018609</v>
      </c>
      <c r="C7" s="2">
        <v>286315764</v>
      </c>
      <c r="D7" s="2">
        <v>308689161</v>
      </c>
      <c r="E7" s="2">
        <v>331191932</v>
      </c>
      <c r="F7" s="4">
        <v>354.33352200000002</v>
      </c>
      <c r="G7" s="4">
        <v>375</v>
      </c>
      <c r="H7" s="2">
        <v>394797521</v>
      </c>
      <c r="I7" s="2">
        <v>405109570</v>
      </c>
      <c r="J7" s="2">
        <v>428830955</v>
      </c>
      <c r="K7" s="2">
        <v>470939040</v>
      </c>
      <c r="L7" s="2">
        <v>494677982</v>
      </c>
      <c r="M7" s="2">
        <v>531621064</v>
      </c>
      <c r="N7" s="2">
        <v>601696643</v>
      </c>
      <c r="O7" s="2">
        <v>625801316</v>
      </c>
      <c r="P7" s="2">
        <v>573173614</v>
      </c>
      <c r="Q7" s="2">
        <v>600622745.87615561</v>
      </c>
      <c r="R7" s="2">
        <f>'FY23 Table A'!G15+'FY23 Table A'!G18+SUM('FY23 Table A'!G29:G36)</f>
        <v>683239270.68999994</v>
      </c>
      <c r="S7" s="2">
        <f>(8330+4933227+204992324+88972043+7291805+37069628+305113669+57287657+25001785)</f>
        <v>730670468</v>
      </c>
      <c r="T7" s="2">
        <v>820283482.83999991</v>
      </c>
      <c r="U7" s="20">
        <f t="shared" si="0"/>
        <v>0.33520107379564179</v>
      </c>
    </row>
    <row r="8" spans="1:23" x14ac:dyDescent="0.25">
      <c r="A8" t="s">
        <v>30</v>
      </c>
      <c r="B8" s="2"/>
      <c r="C8" s="2"/>
      <c r="D8" s="2"/>
      <c r="E8" s="2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>
        <v>68990666</v>
      </c>
      <c r="R8" s="2"/>
      <c r="S8" s="2"/>
      <c r="T8" s="2"/>
      <c r="U8" s="21"/>
    </row>
    <row r="9" spans="1:23" x14ac:dyDescent="0.25">
      <c r="A9" t="s">
        <v>12</v>
      </c>
      <c r="B9" s="2"/>
      <c r="C9" s="2"/>
      <c r="D9" s="2"/>
      <c r="E9" s="2">
        <v>22337843</v>
      </c>
      <c r="F9" s="4">
        <v>15.5</v>
      </c>
      <c r="G9" s="4"/>
      <c r="H9" s="2"/>
      <c r="I9" s="2"/>
      <c r="N9" s="2"/>
      <c r="O9" s="2"/>
      <c r="P9" s="2"/>
      <c r="Q9" s="2"/>
      <c r="R9" s="2"/>
      <c r="S9" s="2"/>
      <c r="T9" s="2"/>
      <c r="V9" s="2"/>
    </row>
    <row r="10" spans="1:23" x14ac:dyDescent="0.25">
      <c r="B10" s="2"/>
      <c r="C10" s="2"/>
      <c r="D10" s="2"/>
      <c r="E10" s="2"/>
      <c r="F10" s="4"/>
      <c r="G10" s="4"/>
      <c r="H10" s="2"/>
      <c r="I10" s="2"/>
      <c r="N10" s="2"/>
      <c r="O10" s="2"/>
      <c r="P10" s="2"/>
      <c r="V10" s="2"/>
    </row>
    <row r="11" spans="1:23" x14ac:dyDescent="0.25">
      <c r="F11" s="4"/>
      <c r="G11" s="4"/>
      <c r="H11" s="2"/>
      <c r="I11" s="2"/>
      <c r="Q11" s="2"/>
      <c r="R11" s="2"/>
      <c r="S11" s="2"/>
      <c r="T11" s="2"/>
      <c r="V11" s="35"/>
    </row>
    <row r="12" spans="1:23" x14ac:dyDescent="0.25">
      <c r="B12" s="2">
        <v>880476622</v>
      </c>
      <c r="C12" s="2">
        <v>954867413</v>
      </c>
      <c r="D12" s="2">
        <v>1018282934</v>
      </c>
      <c r="E12" s="2">
        <v>1084278115</v>
      </c>
      <c r="F12" s="3">
        <v>1173.0889090000001</v>
      </c>
      <c r="G12" s="3">
        <v>1220.3999999999999</v>
      </c>
      <c r="H12" s="2">
        <v>1271765655</v>
      </c>
      <c r="I12" s="2">
        <v>1290707381</v>
      </c>
      <c r="J12" s="2">
        <v>1351695799</v>
      </c>
      <c r="K12" s="2">
        <v>1468721171</v>
      </c>
      <c r="L12" s="2">
        <v>1584552630</v>
      </c>
      <c r="M12" s="2">
        <v>1693240306</v>
      </c>
      <c r="N12" s="2">
        <v>1795014111</v>
      </c>
      <c r="O12" s="2">
        <v>1896543505</v>
      </c>
      <c r="P12" s="2">
        <v>1794399940</v>
      </c>
      <c r="Q12" s="2">
        <v>2008129884.7801557</v>
      </c>
      <c r="R12" s="2">
        <f>SUM(R3:R8)</f>
        <v>2143067908.4299998</v>
      </c>
      <c r="S12" s="2">
        <f>SUM(S3:S8)</f>
        <v>2256039752</v>
      </c>
      <c r="T12" s="2">
        <f>SUM(T3:T8)</f>
        <v>2447138589.2399998</v>
      </c>
      <c r="W12" s="2"/>
    </row>
    <row r="13" spans="1:23" x14ac:dyDescent="0.25">
      <c r="A13" s="7"/>
      <c r="B13" s="8"/>
      <c r="C13" s="8"/>
      <c r="D13" s="8"/>
      <c r="E13" s="8"/>
      <c r="F13" s="9"/>
      <c r="G13" s="9"/>
      <c r="H13" s="10"/>
      <c r="I13" s="1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3" x14ac:dyDescent="0.25">
      <c r="A14" s="6" t="s">
        <v>104</v>
      </c>
    </row>
    <row r="15" spans="1:23" x14ac:dyDescent="0.25"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15</v>
      </c>
      <c r="I15" s="1" t="s">
        <v>16</v>
      </c>
      <c r="J15" s="1" t="s">
        <v>17</v>
      </c>
      <c r="K15" s="1" t="s">
        <v>18</v>
      </c>
      <c r="L15" s="1" t="s">
        <v>19</v>
      </c>
      <c r="M15" s="1" t="s">
        <v>21</v>
      </c>
      <c r="N15" s="1" t="s">
        <v>23</v>
      </c>
      <c r="O15" s="1" t="s">
        <v>24</v>
      </c>
      <c r="P15" s="1" t="s">
        <v>25</v>
      </c>
      <c r="Q15" s="229" t="s">
        <v>28</v>
      </c>
      <c r="R15" s="1" t="s">
        <v>109</v>
      </c>
      <c r="S15" s="1" t="s">
        <v>112</v>
      </c>
      <c r="T15" s="1"/>
      <c r="V15" s="234" t="s">
        <v>110</v>
      </c>
    </row>
    <row r="16" spans="1:23" x14ac:dyDescent="0.25">
      <c r="A16" t="s">
        <v>7</v>
      </c>
      <c r="B16" s="2">
        <v>31064641</v>
      </c>
      <c r="C16" s="2">
        <v>37715932</v>
      </c>
      <c r="D16" s="2">
        <v>30951834</v>
      </c>
      <c r="E16" s="2">
        <v>14164594</v>
      </c>
      <c r="F16" s="2">
        <v>47037512</v>
      </c>
      <c r="G16" s="2">
        <v>28313301</v>
      </c>
      <c r="H16" s="2">
        <v>27939202</v>
      </c>
      <c r="I16" s="2">
        <v>29743783</v>
      </c>
      <c r="J16" s="2">
        <v>31521096</v>
      </c>
      <c r="K16" s="2">
        <v>36495109</v>
      </c>
      <c r="L16" s="2">
        <v>37204097</v>
      </c>
      <c r="M16" s="2">
        <v>39494292</v>
      </c>
      <c r="N16" s="2">
        <v>44393380</v>
      </c>
      <c r="O16" s="2">
        <v>49812040</v>
      </c>
      <c r="P16" s="2">
        <v>20747242</v>
      </c>
      <c r="Q16" s="2">
        <v>56460058</v>
      </c>
      <c r="R16" s="2">
        <v>55027919</v>
      </c>
      <c r="S16" s="2">
        <v>63635978</v>
      </c>
      <c r="W16" s="2"/>
    </row>
    <row r="17" spans="1:23" x14ac:dyDescent="0.25">
      <c r="A17" t="s">
        <v>8</v>
      </c>
      <c r="B17" s="2">
        <v>41404544</v>
      </c>
      <c r="C17" s="2">
        <v>41703439</v>
      </c>
      <c r="D17" s="2">
        <v>32993329</v>
      </c>
      <c r="E17" s="2">
        <v>21288149</v>
      </c>
      <c r="F17" s="2">
        <v>27321478</v>
      </c>
      <c r="G17" s="2">
        <v>27629835</v>
      </c>
      <c r="H17" s="2">
        <v>26960916</v>
      </c>
      <c r="I17" s="2">
        <v>27602508</v>
      </c>
      <c r="J17" s="2">
        <v>31859432</v>
      </c>
      <c r="K17" s="2">
        <v>31859432</v>
      </c>
      <c r="L17" s="2">
        <v>32188645</v>
      </c>
      <c r="M17" s="2">
        <v>33390840</v>
      </c>
      <c r="N17" s="2">
        <v>36998672</v>
      </c>
      <c r="O17" s="2">
        <v>41404678</v>
      </c>
      <c r="P17" s="2">
        <v>17576926</v>
      </c>
      <c r="Q17" s="2">
        <v>42293747</v>
      </c>
      <c r="R17" s="2">
        <v>47348114</v>
      </c>
      <c r="S17" s="2">
        <v>48841930</v>
      </c>
      <c r="W17" s="3"/>
    </row>
    <row r="18" spans="1:23" x14ac:dyDescent="0.25">
      <c r="A18" t="s">
        <v>9</v>
      </c>
      <c r="B18" s="2">
        <v>354597250</v>
      </c>
      <c r="C18" s="2">
        <v>385651015</v>
      </c>
      <c r="D18" s="2">
        <v>431706096</v>
      </c>
      <c r="E18" s="2">
        <v>464384205</v>
      </c>
      <c r="F18" s="2">
        <v>495142761</v>
      </c>
      <c r="G18" s="2">
        <v>529902053</v>
      </c>
      <c r="H18" s="2">
        <v>539272116</v>
      </c>
      <c r="I18" s="2">
        <v>565118671</v>
      </c>
      <c r="J18" s="2">
        <v>600331717</v>
      </c>
      <c r="K18" s="2">
        <v>661514263</v>
      </c>
      <c r="L18" s="2">
        <v>712909737</v>
      </c>
      <c r="M18" s="2">
        <v>768600454</v>
      </c>
      <c r="N18" s="2">
        <v>809518586</v>
      </c>
      <c r="O18" s="2">
        <v>857739030</v>
      </c>
      <c r="P18" s="2">
        <v>843989238</v>
      </c>
      <c r="Q18" s="2">
        <f>'FY23 Table A'!C14-'FY23 Table A'!C9</f>
        <v>894183256</v>
      </c>
      <c r="R18" s="2">
        <f>(979131491-47348114)</f>
        <v>931783377</v>
      </c>
      <c r="S18" s="2">
        <v>989745732</v>
      </c>
      <c r="W18" s="3"/>
    </row>
    <row r="19" spans="1:23" x14ac:dyDescent="0.25">
      <c r="A19" t="s">
        <v>10</v>
      </c>
      <c r="B19" s="2">
        <v>200151978</v>
      </c>
      <c r="C19" s="2">
        <v>197296625</v>
      </c>
      <c r="D19" s="2">
        <v>207421370</v>
      </c>
      <c r="E19" s="2">
        <v>244204585</v>
      </c>
      <c r="F19" s="2">
        <v>267795881</v>
      </c>
      <c r="G19" s="2">
        <v>279745446</v>
      </c>
      <c r="H19" s="2">
        <v>269571978</v>
      </c>
      <c r="I19" s="2">
        <v>270512860</v>
      </c>
      <c r="J19" s="2">
        <v>293700642</v>
      </c>
      <c r="K19" s="2">
        <v>305457136</v>
      </c>
      <c r="L19" s="2">
        <v>328323330</v>
      </c>
      <c r="M19" s="2">
        <v>299116802</v>
      </c>
      <c r="N19" s="2">
        <v>313131855</v>
      </c>
      <c r="O19" s="2">
        <v>313891432</v>
      </c>
      <c r="P19" s="2">
        <v>350756536</v>
      </c>
      <c r="Q19" s="2">
        <v>405021353</v>
      </c>
      <c r="R19" s="2">
        <v>420945304</v>
      </c>
      <c r="S19" s="2">
        <v>460580010</v>
      </c>
      <c r="W19" s="2"/>
    </row>
    <row r="20" spans="1:23" x14ac:dyDescent="0.25">
      <c r="A20" t="s">
        <v>11</v>
      </c>
      <c r="B20" s="2">
        <v>277035197</v>
      </c>
      <c r="C20" s="2">
        <v>298630879</v>
      </c>
      <c r="D20" s="2">
        <v>322500523</v>
      </c>
      <c r="E20" s="2">
        <v>345124426</v>
      </c>
      <c r="F20" s="2">
        <v>363466153</v>
      </c>
      <c r="G20" s="2">
        <v>373829070</v>
      </c>
      <c r="H20" s="2">
        <v>422173969</v>
      </c>
      <c r="I20" s="2">
        <v>409052558</v>
      </c>
      <c r="J20" s="2">
        <v>435724113</v>
      </c>
      <c r="K20" s="2">
        <v>467417973</v>
      </c>
      <c r="L20" s="2">
        <v>507605758</v>
      </c>
      <c r="M20" s="2">
        <v>584626607</v>
      </c>
      <c r="N20" s="2">
        <v>611029227</v>
      </c>
      <c r="O20" s="2">
        <f>633676815-67005232</f>
        <v>566671583</v>
      </c>
      <c r="P20" s="2">
        <v>488860845</v>
      </c>
      <c r="Q20" s="2">
        <v>644021746</v>
      </c>
      <c r="R20" s="2">
        <f>(7993+4698311+200972867+35643873+267848257+139294952+31587675)</f>
        <v>680053928</v>
      </c>
      <c r="S20" s="2">
        <v>795461554</v>
      </c>
    </row>
    <row r="21" spans="1:23" x14ac:dyDescent="0.25">
      <c r="A21" s="12" t="s">
        <v>30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67005232</v>
      </c>
      <c r="P21" s="2">
        <v>72785894</v>
      </c>
      <c r="Q21" s="2">
        <v>26598687</v>
      </c>
      <c r="R21" s="2"/>
    </row>
    <row r="22" spans="1:23" x14ac:dyDescent="0.25">
      <c r="A22" t="s">
        <v>12</v>
      </c>
      <c r="B22" s="2"/>
      <c r="C22" s="2"/>
      <c r="D22" s="2">
        <v>22337843</v>
      </c>
      <c r="E22" s="2">
        <v>50830263</v>
      </c>
      <c r="F22" s="2">
        <v>5060175</v>
      </c>
      <c r="G22" s="2"/>
      <c r="H22" s="2"/>
      <c r="N22" s="2"/>
      <c r="Q22" s="2"/>
      <c r="R22" s="2"/>
      <c r="S22" s="2"/>
      <c r="T22" s="2"/>
    </row>
    <row r="23" spans="1:23" x14ac:dyDescent="0.25">
      <c r="B23" s="2"/>
      <c r="C23" s="2"/>
      <c r="D23" s="2"/>
      <c r="E23" s="2"/>
      <c r="F23" s="2"/>
      <c r="G23" s="2"/>
      <c r="H23" s="2"/>
      <c r="Q23" s="3"/>
      <c r="R23" s="3"/>
      <c r="S23" s="3"/>
      <c r="T23" s="3"/>
    </row>
    <row r="24" spans="1:23" x14ac:dyDescent="0.25">
      <c r="B24" s="2">
        <v>904253610</v>
      </c>
      <c r="C24" s="2">
        <v>960997890</v>
      </c>
      <c r="D24" s="2">
        <v>1047910995</v>
      </c>
      <c r="E24" s="2">
        <v>1139996222</v>
      </c>
      <c r="F24" s="2">
        <v>1205823960</v>
      </c>
      <c r="G24" s="2">
        <v>1239419705</v>
      </c>
      <c r="H24" s="2">
        <v>1285918181</v>
      </c>
      <c r="I24" s="2">
        <v>1302030380</v>
      </c>
      <c r="J24" s="2">
        <v>1393137000</v>
      </c>
      <c r="K24" s="2">
        <v>1502743913</v>
      </c>
      <c r="L24" s="2">
        <v>1618231567</v>
      </c>
      <c r="M24" s="2">
        <v>1725228995</v>
      </c>
      <c r="N24" s="2">
        <v>1815071720</v>
      </c>
      <c r="O24" s="2">
        <v>1896523995</v>
      </c>
      <c r="P24" s="2">
        <v>1794716681</v>
      </c>
      <c r="Q24" s="2">
        <f>SUM(Q16:Q21)</f>
        <v>2068578847</v>
      </c>
      <c r="R24" s="2">
        <f>SUM(R16:R21)</f>
        <v>2135158642</v>
      </c>
      <c r="S24" s="2">
        <f>SUM(S16:S21)</f>
        <v>2358265204</v>
      </c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3" x14ac:dyDescent="0.25">
      <c r="A26" s="6" t="s">
        <v>105</v>
      </c>
    </row>
    <row r="27" spans="1:23" x14ac:dyDescent="0.25"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15</v>
      </c>
      <c r="I27" s="1" t="s">
        <v>16</v>
      </c>
      <c r="J27" s="1" t="s">
        <v>17</v>
      </c>
      <c r="K27" s="1" t="s">
        <v>18</v>
      </c>
      <c r="L27" s="1" t="s">
        <v>19</v>
      </c>
      <c r="M27" s="1" t="s">
        <v>21</v>
      </c>
      <c r="N27" s="1" t="s">
        <v>23</v>
      </c>
      <c r="O27" s="1" t="s">
        <v>24</v>
      </c>
      <c r="P27" s="1" t="s">
        <v>25</v>
      </c>
      <c r="Q27" s="1" t="s">
        <v>28</v>
      </c>
      <c r="R27" s="1" t="s">
        <v>109</v>
      </c>
      <c r="S27" s="1" t="s">
        <v>112</v>
      </c>
      <c r="T27" s="1" t="s">
        <v>113</v>
      </c>
      <c r="U27" s="229" t="s">
        <v>115</v>
      </c>
      <c r="V27" s="235" t="s">
        <v>111</v>
      </c>
    </row>
    <row r="28" spans="1:23" x14ac:dyDescent="0.25">
      <c r="A28" t="s">
        <v>7</v>
      </c>
      <c r="B28" s="11">
        <v>31064641</v>
      </c>
      <c r="C28" s="11">
        <v>37715932</v>
      </c>
      <c r="D28" s="11">
        <v>30951834</v>
      </c>
      <c r="E28" s="11">
        <v>14164594</v>
      </c>
      <c r="F28" s="11">
        <v>47037512</v>
      </c>
      <c r="G28" s="11">
        <v>28313301</v>
      </c>
      <c r="H28" s="11">
        <v>27939202</v>
      </c>
      <c r="I28" s="11">
        <v>29743783</v>
      </c>
      <c r="J28" s="11">
        <v>31521096</v>
      </c>
      <c r="K28" s="11">
        <v>36495109</v>
      </c>
      <c r="L28" s="11">
        <v>37204097</v>
      </c>
      <c r="M28" s="11">
        <v>39494292</v>
      </c>
      <c r="N28" s="11">
        <v>44393380</v>
      </c>
      <c r="O28" s="11">
        <v>49812040</v>
      </c>
      <c r="P28" s="11">
        <v>20747242</v>
      </c>
      <c r="Q28" s="11">
        <v>56460058</v>
      </c>
      <c r="R28" s="11">
        <v>55027919</v>
      </c>
      <c r="S28" s="11">
        <v>63635978</v>
      </c>
      <c r="T28" s="11">
        <v>73691063</v>
      </c>
      <c r="U28" s="20">
        <f>S28/$S$37</f>
        <v>2.6984233110026415E-2</v>
      </c>
    </row>
    <row r="29" spans="1:23" x14ac:dyDescent="0.25">
      <c r="A29" t="s">
        <v>8</v>
      </c>
      <c r="B29" s="11">
        <v>41404544</v>
      </c>
      <c r="C29" s="11">
        <v>41703439</v>
      </c>
      <c r="D29" s="11">
        <v>32993329</v>
      </c>
      <c r="E29" s="11">
        <v>21288149</v>
      </c>
      <c r="F29" s="11">
        <v>27321478</v>
      </c>
      <c r="G29" s="11">
        <v>27629835</v>
      </c>
      <c r="H29" s="11">
        <v>26960916</v>
      </c>
      <c r="I29" s="11">
        <v>27602508</v>
      </c>
      <c r="J29" s="11">
        <v>31859432</v>
      </c>
      <c r="K29" s="11">
        <v>31859432</v>
      </c>
      <c r="L29" s="11">
        <v>32188645</v>
      </c>
      <c r="M29" s="11">
        <v>33390840</v>
      </c>
      <c r="N29" s="11">
        <v>36998672</v>
      </c>
      <c r="O29" s="11">
        <v>41404678</v>
      </c>
      <c r="P29" s="11">
        <v>17576926</v>
      </c>
      <c r="Q29" s="11">
        <v>42293747</v>
      </c>
      <c r="R29" s="11">
        <v>47348114</v>
      </c>
      <c r="S29" s="11">
        <v>48841930</v>
      </c>
      <c r="T29" s="11">
        <v>50186294</v>
      </c>
      <c r="U29" s="20">
        <f t="shared" ref="U29:U33" si="1">S29/$S$37</f>
        <v>2.0710957324543554E-2</v>
      </c>
    </row>
    <row r="30" spans="1:23" x14ac:dyDescent="0.25">
      <c r="A30" t="s">
        <v>9</v>
      </c>
      <c r="B30" s="11">
        <v>354597250</v>
      </c>
      <c r="C30" s="11">
        <v>385651015</v>
      </c>
      <c r="D30" s="11">
        <v>431706096</v>
      </c>
      <c r="E30" s="11">
        <v>464384205</v>
      </c>
      <c r="F30" s="11">
        <v>495142761</v>
      </c>
      <c r="G30" s="11">
        <v>529902053</v>
      </c>
      <c r="H30" s="11">
        <v>539272116</v>
      </c>
      <c r="I30" s="11">
        <v>565118671</v>
      </c>
      <c r="J30" s="11">
        <v>600331717</v>
      </c>
      <c r="K30" s="11">
        <v>661514263</v>
      </c>
      <c r="L30" s="11">
        <v>712909737</v>
      </c>
      <c r="M30" s="11">
        <v>768600454</v>
      </c>
      <c r="N30" s="11">
        <v>809518586</v>
      </c>
      <c r="O30" s="11">
        <v>857739030</v>
      </c>
      <c r="P30" s="11">
        <v>843989238</v>
      </c>
      <c r="Q30" s="11">
        <v>894183256</v>
      </c>
      <c r="R30" s="11">
        <f>(979131491-47348114)</f>
        <v>931783377</v>
      </c>
      <c r="S30" s="11">
        <v>989745732</v>
      </c>
      <c r="T30" s="11">
        <v>1023974539</v>
      </c>
      <c r="U30" s="20">
        <f t="shared" si="1"/>
        <v>0.41969229343723974</v>
      </c>
    </row>
    <row r="31" spans="1:23" x14ac:dyDescent="0.25">
      <c r="A31" t="s">
        <v>10</v>
      </c>
      <c r="B31" s="11">
        <v>200151978</v>
      </c>
      <c r="C31" s="11">
        <v>197296625</v>
      </c>
      <c r="D31" s="11">
        <v>207421370</v>
      </c>
      <c r="E31" s="11">
        <v>244204585</v>
      </c>
      <c r="F31" s="11">
        <v>267795881</v>
      </c>
      <c r="G31" s="11">
        <v>279745446</v>
      </c>
      <c r="H31" s="11">
        <v>269571978</v>
      </c>
      <c r="I31" s="11">
        <v>270512860</v>
      </c>
      <c r="J31" s="11">
        <v>293700642</v>
      </c>
      <c r="K31" s="11">
        <v>305457136</v>
      </c>
      <c r="L31" s="11">
        <v>328323330</v>
      </c>
      <c r="M31" s="11">
        <v>299116802</v>
      </c>
      <c r="N31" s="11">
        <v>313131855</v>
      </c>
      <c r="O31" s="11">
        <v>313891432</v>
      </c>
      <c r="P31" s="11">
        <v>350756536</v>
      </c>
      <c r="Q31" s="11">
        <v>405021353</v>
      </c>
      <c r="R31" s="11">
        <v>420945304</v>
      </c>
      <c r="S31" s="11">
        <v>460580010</v>
      </c>
      <c r="T31" s="11">
        <v>479003210.40000004</v>
      </c>
      <c r="U31" s="20">
        <f t="shared" si="1"/>
        <v>0.19530458627756608</v>
      </c>
    </row>
    <row r="32" spans="1:23" x14ac:dyDescent="0.25">
      <c r="A32" t="s">
        <v>11</v>
      </c>
      <c r="B32" s="11">
        <v>277035197</v>
      </c>
      <c r="C32" s="11">
        <v>298630879</v>
      </c>
      <c r="D32" s="11">
        <v>322500523</v>
      </c>
      <c r="E32" s="11">
        <v>345124426</v>
      </c>
      <c r="F32" s="11">
        <v>363466153</v>
      </c>
      <c r="G32" s="11">
        <v>373829070</v>
      </c>
      <c r="H32" s="11">
        <v>422173969</v>
      </c>
      <c r="I32" s="11">
        <v>409052558</v>
      </c>
      <c r="J32" s="11">
        <v>435724113</v>
      </c>
      <c r="K32" s="11">
        <v>467417973</v>
      </c>
      <c r="L32" s="11">
        <v>507605758</v>
      </c>
      <c r="M32" s="11">
        <v>584626607</v>
      </c>
      <c r="N32" s="11">
        <v>611029227</v>
      </c>
      <c r="O32" s="11">
        <v>566671583</v>
      </c>
      <c r="P32" s="11">
        <v>488860845</v>
      </c>
      <c r="Q32" s="11">
        <v>644021746</v>
      </c>
      <c r="R32" s="11">
        <f>(7993+4698311+200972867+35643873+267848257+139294952+31587675)</f>
        <v>680053928</v>
      </c>
      <c r="S32" s="11">
        <v>795461554</v>
      </c>
      <c r="T32" s="11">
        <v>820283482.83999991</v>
      </c>
      <c r="U32" s="20">
        <f t="shared" si="1"/>
        <v>0.33730792985062419</v>
      </c>
    </row>
    <row r="33" spans="1:21" x14ac:dyDescent="0.25">
      <c r="A33" t="s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67005232</v>
      </c>
      <c r="P33" s="11">
        <v>72785894</v>
      </c>
      <c r="Q33" s="11">
        <v>26598687</v>
      </c>
      <c r="R33" s="11"/>
      <c r="S33" s="11"/>
      <c r="T33" s="11"/>
      <c r="U33" s="20">
        <f t="shared" si="1"/>
        <v>0</v>
      </c>
    </row>
    <row r="34" spans="1:21" x14ac:dyDescent="0.25">
      <c r="A34" s="12" t="s">
        <v>106</v>
      </c>
      <c r="B34" s="11"/>
      <c r="C34" s="11"/>
      <c r="D34" s="11">
        <v>22337843</v>
      </c>
      <c r="E34" s="11">
        <v>50830263</v>
      </c>
      <c r="F34" s="11">
        <v>5060175</v>
      </c>
      <c r="G34" s="11"/>
      <c r="H34" s="11"/>
      <c r="O34" s="11"/>
      <c r="Q34" s="11"/>
      <c r="R34" s="11"/>
      <c r="S34" s="11"/>
      <c r="T34" s="11"/>
      <c r="U34" s="21">
        <f>SUM(U28:U33)</f>
        <v>1</v>
      </c>
    </row>
    <row r="35" spans="1:21" x14ac:dyDescent="0.25">
      <c r="D35" s="2"/>
      <c r="E35" s="2"/>
      <c r="F35" s="2"/>
      <c r="R35" s="3"/>
    </row>
    <row r="36" spans="1:21" x14ac:dyDescent="0.25">
      <c r="R36" s="2"/>
      <c r="S36" s="2"/>
      <c r="T36" s="2"/>
    </row>
    <row r="37" spans="1:21" x14ac:dyDescent="0.25">
      <c r="B37" s="2">
        <v>904253610</v>
      </c>
      <c r="C37" s="2">
        <v>960997890</v>
      </c>
      <c r="D37" s="2">
        <v>1047910995</v>
      </c>
      <c r="E37" s="2">
        <v>1139996222</v>
      </c>
      <c r="F37" s="2">
        <v>1205823960</v>
      </c>
      <c r="G37" s="2">
        <v>1239419705</v>
      </c>
      <c r="H37" s="2">
        <v>1285918181</v>
      </c>
      <c r="I37" s="2">
        <v>1302030380</v>
      </c>
      <c r="J37" s="2">
        <v>1393137000</v>
      </c>
      <c r="K37" s="2">
        <v>1502743913</v>
      </c>
      <c r="L37" s="2">
        <v>1618231567</v>
      </c>
      <c r="M37" s="2">
        <v>1725228995</v>
      </c>
      <c r="N37" s="2">
        <v>1815071720</v>
      </c>
      <c r="O37" s="2">
        <v>1896523995</v>
      </c>
      <c r="P37" s="2">
        <v>1794716681</v>
      </c>
      <c r="Q37" s="2">
        <v>2068578847</v>
      </c>
      <c r="R37" s="2">
        <v>2135158642</v>
      </c>
      <c r="S37" s="2">
        <v>2358265204</v>
      </c>
      <c r="T37" s="2">
        <v>2447138589.2399998</v>
      </c>
    </row>
    <row r="39" spans="1:21" x14ac:dyDescent="0.25">
      <c r="J39" s="11"/>
      <c r="K39" s="11"/>
    </row>
    <row r="119" spans="1:4" x14ac:dyDescent="0.25">
      <c r="B119" s="1"/>
      <c r="C119" s="1"/>
      <c r="D119" s="1"/>
    </row>
    <row r="120" spans="1:4" x14ac:dyDescent="0.25">
      <c r="A120" t="s">
        <v>14</v>
      </c>
      <c r="B120" s="5">
        <f>SUM(B119:B119)</f>
        <v>0</v>
      </c>
      <c r="C120" s="5">
        <f>SUM(C119:C119)</f>
        <v>0</v>
      </c>
      <c r="D120" s="5">
        <f>SUM(D119:D119)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"/>
  <sheetViews>
    <sheetView topLeftCell="A7" workbookViewId="0">
      <selection activeCell="H23" sqref="H23"/>
    </sheetView>
  </sheetViews>
  <sheetFormatPr defaultRowHeight="15" x14ac:dyDescent="0.25"/>
  <cols>
    <col min="1" max="1" width="76.5546875" style="204" customWidth="1"/>
    <col min="2" max="2" width="18.88671875" style="204" bestFit="1" customWidth="1"/>
    <col min="3" max="3" width="18.6640625" style="204" customWidth="1"/>
    <col min="4" max="5" width="18.6640625" style="157" customWidth="1"/>
    <col min="6" max="6" width="18" style="157" customWidth="1"/>
    <col min="7" max="7" width="22.109375" style="157" customWidth="1"/>
    <col min="8" max="8" width="12.6640625" customWidth="1"/>
    <col min="11" max="11" width="45" bestFit="1" customWidth="1"/>
  </cols>
  <sheetData>
    <row r="1" spans="1:7" ht="15.6" x14ac:dyDescent="0.3">
      <c r="A1" s="149" t="s">
        <v>107</v>
      </c>
      <c r="B1" s="149"/>
      <c r="C1" s="149"/>
      <c r="D1" s="149"/>
      <c r="E1" s="149"/>
      <c r="F1" s="149"/>
      <c r="G1" s="149"/>
    </row>
    <row r="2" spans="1:7" ht="15.6" x14ac:dyDescent="0.3">
      <c r="A2" s="149" t="s">
        <v>32</v>
      </c>
      <c r="B2" s="149"/>
      <c r="C2" s="149"/>
      <c r="D2" s="149"/>
      <c r="E2" s="149"/>
      <c r="F2" s="149"/>
      <c r="G2" s="149"/>
    </row>
    <row r="3" spans="1:7" ht="15.6" x14ac:dyDescent="0.3">
      <c r="A3" s="150" t="s">
        <v>33</v>
      </c>
      <c r="B3" s="150"/>
      <c r="C3" s="150"/>
      <c r="D3" s="150"/>
      <c r="E3" s="150"/>
      <c r="F3" s="150"/>
      <c r="G3" s="150"/>
    </row>
    <row r="4" spans="1:7" ht="16.2" thickBot="1" x14ac:dyDescent="0.35">
      <c r="A4" s="151"/>
      <c r="B4" s="152"/>
      <c r="C4" s="152"/>
      <c r="D4" s="152"/>
      <c r="E4" s="151"/>
      <c r="F4" s="151"/>
      <c r="G4" s="151"/>
    </row>
    <row r="5" spans="1:7" ht="16.2" thickBot="1" x14ac:dyDescent="0.35">
      <c r="A5" s="236" t="s">
        <v>37</v>
      </c>
      <c r="B5" s="238" t="s">
        <v>39</v>
      </c>
      <c r="C5" s="239"/>
      <c r="D5" s="240" t="s">
        <v>108</v>
      </c>
      <c r="E5" s="241"/>
      <c r="F5" s="241"/>
      <c r="G5" s="242"/>
    </row>
    <row r="6" spans="1:7" ht="47.4" thickBot="1" x14ac:dyDescent="0.35">
      <c r="A6" s="237"/>
      <c r="B6" s="153" t="s">
        <v>40</v>
      </c>
      <c r="C6" s="230" t="s">
        <v>41</v>
      </c>
      <c r="D6" s="154" t="s">
        <v>42</v>
      </c>
      <c r="E6" s="155" t="s">
        <v>43</v>
      </c>
      <c r="F6" s="155" t="s">
        <v>44</v>
      </c>
      <c r="G6" s="153" t="s">
        <v>45</v>
      </c>
    </row>
    <row r="7" spans="1:7" ht="15.6" x14ac:dyDescent="0.3">
      <c r="A7" s="156" t="s">
        <v>46</v>
      </c>
      <c r="B7" s="209"/>
      <c r="C7" s="231"/>
      <c r="D7" s="210"/>
      <c r="G7" s="211"/>
    </row>
    <row r="8" spans="1:7" x14ac:dyDescent="0.25">
      <c r="A8" s="158" t="s">
        <v>9</v>
      </c>
      <c r="B8" s="159"/>
      <c r="C8" s="164"/>
      <c r="D8" s="161"/>
      <c r="E8" s="162"/>
      <c r="F8" s="162"/>
      <c r="G8" s="160"/>
    </row>
    <row r="9" spans="1:7" x14ac:dyDescent="0.25">
      <c r="A9" s="217" t="s">
        <v>26</v>
      </c>
      <c r="B9" s="159">
        <v>42293747</v>
      </c>
      <c r="C9" s="163">
        <v>42293747</v>
      </c>
      <c r="D9" s="216">
        <v>47348114</v>
      </c>
      <c r="E9" s="166">
        <v>0</v>
      </c>
      <c r="F9" s="162">
        <v>0</v>
      </c>
      <c r="G9" s="160">
        <v>47348114</v>
      </c>
    </row>
    <row r="10" spans="1:7" x14ac:dyDescent="0.25">
      <c r="A10" s="165" t="s">
        <v>47</v>
      </c>
      <c r="B10" s="159">
        <v>261357278</v>
      </c>
      <c r="C10" s="163">
        <v>255985776</v>
      </c>
      <c r="D10" s="161">
        <v>274178810</v>
      </c>
      <c r="E10" s="166">
        <v>0</v>
      </c>
      <c r="F10" s="162">
        <v>0</v>
      </c>
      <c r="G10" s="160">
        <v>274178810</v>
      </c>
    </row>
    <row r="11" spans="1:7" x14ac:dyDescent="0.25">
      <c r="A11" s="165" t="s">
        <v>48</v>
      </c>
      <c r="B11" s="159">
        <v>533782102</v>
      </c>
      <c r="C11" s="163">
        <v>542396794</v>
      </c>
      <c r="D11" s="161">
        <v>568856317</v>
      </c>
      <c r="E11" s="166">
        <v>0</v>
      </c>
      <c r="F11" s="162">
        <v>0</v>
      </c>
      <c r="G11" s="160">
        <v>568856317</v>
      </c>
    </row>
    <row r="12" spans="1:7" x14ac:dyDescent="0.25">
      <c r="A12" s="165" t="s">
        <v>49</v>
      </c>
      <c r="B12" s="159">
        <v>35610044.700000003</v>
      </c>
      <c r="C12" s="163">
        <v>37044803</v>
      </c>
      <c r="D12" s="161">
        <v>0</v>
      </c>
      <c r="E12" s="166">
        <v>38156147.090000004</v>
      </c>
      <c r="F12" s="162">
        <v>0</v>
      </c>
      <c r="G12" s="160">
        <v>38156147.090000004</v>
      </c>
    </row>
    <row r="13" spans="1:7" x14ac:dyDescent="0.25">
      <c r="A13" s="167" t="s">
        <v>50</v>
      </c>
      <c r="B13" s="159">
        <v>62377202</v>
      </c>
      <c r="C13" s="163">
        <v>58755883</v>
      </c>
      <c r="D13" s="161">
        <v>8892341</v>
      </c>
      <c r="E13" s="166">
        <v>42096569</v>
      </c>
      <c r="F13" s="162">
        <v>0</v>
      </c>
      <c r="G13" s="160">
        <v>50988910</v>
      </c>
    </row>
    <row r="14" spans="1:7" ht="15.6" x14ac:dyDescent="0.3">
      <c r="A14" s="220" t="s">
        <v>29</v>
      </c>
      <c r="B14" s="168">
        <f>SUM(B9:B13)</f>
        <v>935420373.70000005</v>
      </c>
      <c r="C14" s="232">
        <f>SUM(C9:C13)</f>
        <v>936477003</v>
      </c>
      <c r="D14" s="218">
        <f>SUM(D9:D13)</f>
        <v>899275582</v>
      </c>
      <c r="E14" s="219">
        <f>SUM(E9:E13)</f>
        <v>80252716.090000004</v>
      </c>
      <c r="F14" s="171">
        <f t="shared" ref="F14" si="0">SUM(F9:F13)</f>
        <v>0</v>
      </c>
      <c r="G14" s="168">
        <f>SUM(G9:G13)</f>
        <v>979528298.09000003</v>
      </c>
    </row>
    <row r="15" spans="1:7" x14ac:dyDescent="0.25">
      <c r="A15" s="223" t="s">
        <v>51</v>
      </c>
      <c r="B15" s="159">
        <v>107284</v>
      </c>
      <c r="C15" s="163">
        <v>26050</v>
      </c>
      <c r="D15" s="161">
        <v>0</v>
      </c>
      <c r="E15" s="166">
        <v>0</v>
      </c>
      <c r="F15" s="162">
        <v>66667</v>
      </c>
      <c r="G15" s="224">
        <v>66667</v>
      </c>
    </row>
    <row r="16" spans="1:7" x14ac:dyDescent="0.25">
      <c r="A16" s="158" t="s">
        <v>52</v>
      </c>
      <c r="B16" s="159">
        <v>0</v>
      </c>
      <c r="C16" s="163">
        <v>0</v>
      </c>
      <c r="D16" s="161"/>
      <c r="E16" s="166"/>
      <c r="F16" s="162"/>
      <c r="G16" s="160"/>
    </row>
    <row r="17" spans="1:8" x14ac:dyDescent="0.25">
      <c r="A17" s="221" t="s">
        <v>10</v>
      </c>
      <c r="B17" s="159">
        <v>364436041</v>
      </c>
      <c r="C17" s="163">
        <v>405021353</v>
      </c>
      <c r="D17" s="161">
        <v>0</v>
      </c>
      <c r="E17" s="166">
        <v>0</v>
      </c>
      <c r="F17" s="222">
        <v>425272420.65000004</v>
      </c>
      <c r="G17" s="160">
        <v>425272420.65000004</v>
      </c>
    </row>
    <row r="18" spans="1:8" x14ac:dyDescent="0.25">
      <c r="A18" s="225" t="s">
        <v>53</v>
      </c>
      <c r="B18" s="159">
        <v>3110606</v>
      </c>
      <c r="C18" s="163">
        <v>4405551</v>
      </c>
      <c r="D18" s="161">
        <v>0</v>
      </c>
      <c r="E18" s="166">
        <v>0</v>
      </c>
      <c r="F18" s="162">
        <v>4625828.55</v>
      </c>
      <c r="G18" s="224">
        <v>4625828.55</v>
      </c>
    </row>
    <row r="19" spans="1:8" x14ac:dyDescent="0.25">
      <c r="A19" s="165" t="s">
        <v>54</v>
      </c>
      <c r="B19" s="159">
        <v>0</v>
      </c>
      <c r="C19" s="163">
        <v>0</v>
      </c>
      <c r="D19" s="161">
        <v>0</v>
      </c>
      <c r="E19" s="166">
        <v>0</v>
      </c>
      <c r="F19" s="162">
        <v>0</v>
      </c>
      <c r="G19" s="160">
        <v>0</v>
      </c>
    </row>
    <row r="20" spans="1:8" x14ac:dyDescent="0.25">
      <c r="A20" s="215" t="s">
        <v>55</v>
      </c>
      <c r="B20" s="159">
        <v>56460058</v>
      </c>
      <c r="C20" s="163">
        <v>56460058</v>
      </c>
      <c r="D20" s="216">
        <v>55027919</v>
      </c>
      <c r="E20" s="166">
        <v>0</v>
      </c>
      <c r="F20" s="162">
        <v>0</v>
      </c>
      <c r="G20" s="160">
        <v>55027919</v>
      </c>
    </row>
    <row r="21" spans="1:8" x14ac:dyDescent="0.25">
      <c r="A21" s="213" t="s">
        <v>56</v>
      </c>
      <c r="B21" s="159">
        <v>0</v>
      </c>
      <c r="C21" s="163">
        <v>0</v>
      </c>
      <c r="D21" s="161">
        <v>0</v>
      </c>
      <c r="E21" s="166">
        <v>0</v>
      </c>
      <c r="F21" s="162">
        <v>0</v>
      </c>
      <c r="G21" s="160">
        <v>0</v>
      </c>
    </row>
    <row r="22" spans="1:8" x14ac:dyDescent="0.25">
      <c r="A22" s="213" t="s">
        <v>57</v>
      </c>
      <c r="B22" s="159">
        <v>0</v>
      </c>
      <c r="C22" s="163">
        <v>0</v>
      </c>
      <c r="D22" s="161">
        <v>0</v>
      </c>
      <c r="E22" s="166">
        <v>0</v>
      </c>
      <c r="F22" s="162">
        <v>0</v>
      </c>
      <c r="G22" s="160">
        <v>0</v>
      </c>
    </row>
    <row r="23" spans="1:8" ht="15.6" x14ac:dyDescent="0.3">
      <c r="A23" s="214" t="s">
        <v>58</v>
      </c>
      <c r="B23" s="159">
        <v>0</v>
      </c>
      <c r="C23" s="163">
        <v>0</v>
      </c>
      <c r="D23" s="161">
        <v>0</v>
      </c>
      <c r="E23" s="166">
        <v>0</v>
      </c>
      <c r="F23" s="162">
        <v>0</v>
      </c>
      <c r="G23" s="160">
        <v>0</v>
      </c>
      <c r="H23" s="178"/>
    </row>
    <row r="24" spans="1:8" ht="15.6" x14ac:dyDescent="0.3">
      <c r="A24" s="214" t="s">
        <v>59</v>
      </c>
      <c r="B24" s="159">
        <v>17985130</v>
      </c>
      <c r="C24" s="163">
        <v>0</v>
      </c>
      <c r="D24" s="161">
        <v>0</v>
      </c>
      <c r="E24" s="166">
        <v>0</v>
      </c>
      <c r="F24" s="162">
        <v>0</v>
      </c>
      <c r="G24" s="160">
        <v>0</v>
      </c>
      <c r="H24" s="178"/>
    </row>
    <row r="25" spans="1:8" ht="15.6" x14ac:dyDescent="0.3">
      <c r="A25" s="214" t="s">
        <v>60</v>
      </c>
      <c r="B25" s="159">
        <v>25557767</v>
      </c>
      <c r="C25" s="163">
        <v>25455396</v>
      </c>
      <c r="D25" s="161">
        <v>0</v>
      </c>
      <c r="E25" s="166">
        <v>0</v>
      </c>
      <c r="F25" s="162">
        <v>0</v>
      </c>
      <c r="G25" s="160">
        <v>0</v>
      </c>
      <c r="H25" s="178"/>
    </row>
    <row r="26" spans="1:8" ht="15.6" x14ac:dyDescent="0.3">
      <c r="A26" s="214" t="s">
        <v>61</v>
      </c>
      <c r="B26" s="159">
        <v>25447769</v>
      </c>
      <c r="C26" s="163">
        <v>1143291</v>
      </c>
      <c r="D26" s="161">
        <v>0</v>
      </c>
      <c r="E26" s="166">
        <v>0</v>
      </c>
      <c r="F26" s="162">
        <v>0</v>
      </c>
      <c r="G26" s="160">
        <v>0</v>
      </c>
      <c r="H26" s="178"/>
    </row>
    <row r="27" spans="1:8" x14ac:dyDescent="0.25">
      <c r="A27" s="213" t="s">
        <v>62</v>
      </c>
      <c r="B27" s="159">
        <v>0</v>
      </c>
      <c r="C27" s="163">
        <v>0</v>
      </c>
      <c r="D27" s="161">
        <v>0</v>
      </c>
      <c r="E27" s="166">
        <v>0</v>
      </c>
      <c r="F27" s="162">
        <v>0</v>
      </c>
      <c r="G27" s="160">
        <v>0</v>
      </c>
    </row>
    <row r="28" spans="1:8" ht="15.6" x14ac:dyDescent="0.3">
      <c r="A28" s="212" t="s">
        <v>63</v>
      </c>
      <c r="B28" s="168">
        <f>SUM(B15:B27)</f>
        <v>493104655</v>
      </c>
      <c r="C28" s="232">
        <f>SUM(C15:C27)</f>
        <v>492511699</v>
      </c>
      <c r="D28" s="169">
        <f>SUM(D15:D27)</f>
        <v>55027919</v>
      </c>
      <c r="E28" s="170">
        <f t="shared" ref="E28" si="1">SUM(E15:E27)</f>
        <v>0</v>
      </c>
      <c r="F28" s="171">
        <f>SUM(F15:F27)</f>
        <v>429964916.20000005</v>
      </c>
      <c r="G28" s="168">
        <f>SUM(G15:G27)</f>
        <v>484992835.20000005</v>
      </c>
    </row>
    <row r="29" spans="1:8" x14ac:dyDescent="0.25">
      <c r="A29" s="223" t="s">
        <v>64</v>
      </c>
      <c r="B29" s="159">
        <v>203345181</v>
      </c>
      <c r="C29" s="163">
        <v>204390782</v>
      </c>
      <c r="D29" s="161">
        <v>0</v>
      </c>
      <c r="E29" s="166">
        <v>0</v>
      </c>
      <c r="F29" s="162">
        <v>210522505.46000001</v>
      </c>
      <c r="G29" s="224">
        <v>210522505.46000001</v>
      </c>
    </row>
    <row r="30" spans="1:8" x14ac:dyDescent="0.25">
      <c r="A30" s="223" t="s">
        <v>65</v>
      </c>
      <c r="B30" s="159">
        <v>27890367</v>
      </c>
      <c r="C30" s="163">
        <v>29524364</v>
      </c>
      <c r="D30" s="161">
        <v>0</v>
      </c>
      <c r="E30" s="166">
        <v>30410094.920000002</v>
      </c>
      <c r="F30" s="162">
        <v>0</v>
      </c>
      <c r="G30" s="224">
        <v>30410094.920000002</v>
      </c>
    </row>
    <row r="31" spans="1:8" x14ac:dyDescent="0.25">
      <c r="A31" s="223" t="s">
        <v>66</v>
      </c>
      <c r="B31" s="159">
        <v>225722724</v>
      </c>
      <c r="C31" s="163">
        <v>253965021</v>
      </c>
      <c r="D31" s="161">
        <v>0</v>
      </c>
      <c r="E31" s="166">
        <v>280040947.88999999</v>
      </c>
      <c r="F31" s="162">
        <v>0</v>
      </c>
      <c r="G31" s="224">
        <v>280040947.88999999</v>
      </c>
    </row>
    <row r="32" spans="1:8" x14ac:dyDescent="0.25">
      <c r="A32" s="223" t="s">
        <v>67</v>
      </c>
      <c r="B32" s="159">
        <v>0</v>
      </c>
      <c r="C32" s="163">
        <v>0</v>
      </c>
      <c r="D32" s="161"/>
      <c r="E32" s="166"/>
      <c r="F32" s="162"/>
      <c r="G32" s="224"/>
    </row>
    <row r="33" spans="1:7" x14ac:dyDescent="0.25">
      <c r="A33" s="223" t="s">
        <v>68</v>
      </c>
      <c r="B33" s="159">
        <v>0</v>
      </c>
      <c r="C33" s="163">
        <v>0</v>
      </c>
      <c r="D33" s="161"/>
      <c r="E33" s="166"/>
      <c r="F33" s="162"/>
      <c r="G33" s="224"/>
    </row>
    <row r="34" spans="1:7" x14ac:dyDescent="0.25">
      <c r="A34" s="225" t="s">
        <v>69</v>
      </c>
      <c r="B34" s="159">
        <v>113048151.06215572</v>
      </c>
      <c r="C34" s="163">
        <v>125351483</v>
      </c>
      <c r="D34" s="161">
        <v>77737507</v>
      </c>
      <c r="E34" s="166">
        <v>53881550.150000006</v>
      </c>
      <c r="F34" s="162">
        <v>0</v>
      </c>
      <c r="G34" s="224">
        <v>131619057.15000001</v>
      </c>
    </row>
    <row r="35" spans="1:7" x14ac:dyDescent="0.25">
      <c r="A35" s="225" t="s">
        <v>70</v>
      </c>
      <c r="B35" s="159">
        <v>0</v>
      </c>
      <c r="C35" s="163">
        <v>0</v>
      </c>
      <c r="D35" s="161"/>
      <c r="E35" s="166"/>
      <c r="F35" s="162"/>
      <c r="G35" s="224"/>
    </row>
    <row r="36" spans="1:7" ht="15.6" thickBot="1" x14ac:dyDescent="0.3">
      <c r="A36" s="226" t="s">
        <v>71</v>
      </c>
      <c r="B36" s="159">
        <v>27398434</v>
      </c>
      <c r="C36" s="163">
        <v>26358495</v>
      </c>
      <c r="D36" s="161">
        <v>6519487</v>
      </c>
      <c r="E36" s="166">
        <v>19434682.719999999</v>
      </c>
      <c r="F36" s="162">
        <v>0</v>
      </c>
      <c r="G36" s="224">
        <v>25954169.719999999</v>
      </c>
    </row>
    <row r="37" spans="1:7" ht="16.2" thickTop="1" x14ac:dyDescent="0.3">
      <c r="A37" s="228" t="s">
        <v>27</v>
      </c>
      <c r="B37" s="180">
        <f>SUM(B29:B36)+B14+B28</f>
        <v>2025929885.7621558</v>
      </c>
      <c r="C37" s="233">
        <f>SUM(C29:C36)+C14+C28</f>
        <v>2068578847</v>
      </c>
      <c r="D37" s="181">
        <f>D14+D28+SUM(D29:D36)</f>
        <v>1038560495</v>
      </c>
      <c r="E37" s="182">
        <f t="shared" ref="E37:F37" si="2">E14+E28+SUM(E29:E36)</f>
        <v>464019991.7700001</v>
      </c>
      <c r="F37" s="183">
        <f t="shared" si="2"/>
        <v>640487421.66000009</v>
      </c>
      <c r="G37" s="227">
        <f>G14+G28+SUM(G29:G36)</f>
        <v>2143067908.4299998</v>
      </c>
    </row>
    <row r="38" spans="1:7" x14ac:dyDescent="0.25">
      <c r="A38" s="158"/>
      <c r="B38" s="159"/>
      <c r="C38" s="160"/>
      <c r="D38" s="161"/>
      <c r="E38" s="166"/>
      <c r="F38" s="162"/>
      <c r="G38" s="160"/>
    </row>
    <row r="39" spans="1:7" ht="15.6" x14ac:dyDescent="0.3">
      <c r="A39" s="156" t="s">
        <v>72</v>
      </c>
      <c r="B39" s="184"/>
      <c r="C39" s="160"/>
      <c r="D39" s="161"/>
      <c r="E39" s="166"/>
      <c r="F39" s="162"/>
      <c r="G39" s="160"/>
    </row>
    <row r="40" spans="1:7" x14ac:dyDescent="0.25">
      <c r="A40" s="158" t="s">
        <v>73</v>
      </c>
      <c r="B40" s="159"/>
      <c r="C40" s="160"/>
      <c r="D40" s="161"/>
      <c r="E40" s="166"/>
      <c r="F40" s="162"/>
      <c r="G40" s="160"/>
    </row>
    <row r="41" spans="1:7" x14ac:dyDescent="0.25">
      <c r="A41" s="165" t="s">
        <v>74</v>
      </c>
      <c r="B41" s="159">
        <v>630014429.32000005</v>
      </c>
      <c r="C41" s="159">
        <v>635805295.04764342</v>
      </c>
      <c r="D41" s="161">
        <v>556394897</v>
      </c>
      <c r="E41" s="166">
        <v>42888850</v>
      </c>
      <c r="F41" s="162">
        <v>61930441.259999998</v>
      </c>
      <c r="G41" s="160">
        <v>661214188</v>
      </c>
    </row>
    <row r="42" spans="1:7" x14ac:dyDescent="0.25">
      <c r="A42" s="165" t="s">
        <v>75</v>
      </c>
      <c r="B42" s="159">
        <v>425523670.70860004</v>
      </c>
      <c r="C42" s="159">
        <v>468022581.36842835</v>
      </c>
      <c r="D42" s="161">
        <v>9974639</v>
      </c>
      <c r="E42" s="166">
        <v>467962.09579693794</v>
      </c>
      <c r="F42" s="162">
        <v>479601988.30000001</v>
      </c>
      <c r="G42" s="160">
        <v>490044589.39579695</v>
      </c>
    </row>
    <row r="43" spans="1:7" x14ac:dyDescent="0.25">
      <c r="A43" s="165" t="s">
        <v>76</v>
      </c>
      <c r="B43" s="159">
        <v>17695094.199999999</v>
      </c>
      <c r="C43" s="159">
        <v>17229869.420972366</v>
      </c>
      <c r="D43" s="161">
        <v>497964</v>
      </c>
      <c r="E43" s="166">
        <v>5049740</v>
      </c>
      <c r="F43" s="162">
        <v>12175297.310000001</v>
      </c>
      <c r="G43" s="160">
        <v>17723001.239391811</v>
      </c>
    </row>
    <row r="44" spans="1:7" x14ac:dyDescent="0.25">
      <c r="A44" s="165" t="s">
        <v>77</v>
      </c>
      <c r="B44" s="159">
        <v>152262025.63999999</v>
      </c>
      <c r="C44" s="159">
        <v>165735739.74156585</v>
      </c>
      <c r="D44" s="161">
        <v>142053753</v>
      </c>
      <c r="E44" s="166">
        <v>28177333.476397172</v>
      </c>
      <c r="F44" s="162">
        <v>5209317.7</v>
      </c>
      <c r="G44" s="160">
        <v>175440404.17639714</v>
      </c>
    </row>
    <row r="45" spans="1:7" x14ac:dyDescent="0.25">
      <c r="A45" s="165" t="s">
        <v>78</v>
      </c>
      <c r="B45" s="159">
        <v>103504557.22</v>
      </c>
      <c r="C45" s="159">
        <v>111130590.958717</v>
      </c>
      <c r="D45" s="161">
        <v>50032680</v>
      </c>
      <c r="E45" s="166">
        <v>64083026.897891343</v>
      </c>
      <c r="F45" s="162">
        <v>2197872.71</v>
      </c>
      <c r="G45" s="160">
        <v>116313579.60789134</v>
      </c>
    </row>
    <row r="46" spans="1:7" x14ac:dyDescent="0.25">
      <c r="A46" s="165" t="s">
        <v>79</v>
      </c>
      <c r="B46" s="159">
        <v>94653117.549999997</v>
      </c>
      <c r="C46" s="159">
        <v>94528510.978983074</v>
      </c>
      <c r="D46" s="161">
        <v>90226902</v>
      </c>
      <c r="E46" s="166">
        <v>10582465.298562732</v>
      </c>
      <c r="F46" s="162">
        <v>0</v>
      </c>
      <c r="G46" s="160">
        <v>100809367.29856274</v>
      </c>
    </row>
    <row r="47" spans="1:7" x14ac:dyDescent="0.25">
      <c r="A47" s="165" t="s">
        <v>80</v>
      </c>
      <c r="B47" s="159">
        <v>113005873.7</v>
      </c>
      <c r="C47" s="159">
        <v>116609055</v>
      </c>
      <c r="D47" s="161">
        <v>102559199</v>
      </c>
      <c r="E47" s="166">
        <v>0</v>
      </c>
      <c r="F47" s="162">
        <v>19441634.190000001</v>
      </c>
      <c r="G47" s="160">
        <v>122000833.19</v>
      </c>
    </row>
    <row r="48" spans="1:7" x14ac:dyDescent="0.25">
      <c r="A48" s="165" t="s">
        <v>81</v>
      </c>
      <c r="B48" s="159">
        <v>147512855.19</v>
      </c>
      <c r="C48" s="159">
        <v>147362923</v>
      </c>
      <c r="D48" s="161">
        <v>86820461</v>
      </c>
      <c r="E48" s="166">
        <v>10628476.5</v>
      </c>
      <c r="F48" s="162">
        <v>57963283.990000002</v>
      </c>
      <c r="G48" s="160">
        <v>155412221.49000001</v>
      </c>
    </row>
    <row r="49" spans="1:7" x14ac:dyDescent="0.25">
      <c r="A49" s="158" t="s">
        <v>82</v>
      </c>
      <c r="B49" s="159">
        <v>194582208.46605036</v>
      </c>
      <c r="C49" s="159">
        <v>189872694</v>
      </c>
      <c r="D49" s="161">
        <v>0</v>
      </c>
      <c r="E49" s="166">
        <v>202999409.28</v>
      </c>
      <c r="F49" s="162">
        <v>1967586.34</v>
      </c>
      <c r="G49" s="160">
        <v>204966995.62</v>
      </c>
    </row>
    <row r="50" spans="1:7" x14ac:dyDescent="0.25">
      <c r="A50" s="158" t="s">
        <v>67</v>
      </c>
      <c r="B50" s="159"/>
      <c r="C50" s="159"/>
      <c r="D50" s="161"/>
      <c r="E50" s="166"/>
      <c r="F50" s="162"/>
      <c r="G50" s="160"/>
    </row>
    <row r="51" spans="1:7" x14ac:dyDescent="0.25">
      <c r="A51" s="172" t="s">
        <v>56</v>
      </c>
      <c r="B51" s="173">
        <v>0</v>
      </c>
      <c r="C51" s="173">
        <v>0</v>
      </c>
      <c r="D51" s="174">
        <v>0</v>
      </c>
      <c r="E51" s="175">
        <v>0</v>
      </c>
      <c r="F51" s="176">
        <v>0</v>
      </c>
      <c r="G51" s="177">
        <v>0</v>
      </c>
    </row>
    <row r="52" spans="1:7" x14ac:dyDescent="0.25">
      <c r="A52" s="172" t="s">
        <v>57</v>
      </c>
      <c r="B52" s="173">
        <v>0</v>
      </c>
      <c r="C52" s="173">
        <v>0</v>
      </c>
      <c r="D52" s="174">
        <v>0</v>
      </c>
      <c r="E52" s="175">
        <v>0</v>
      </c>
      <c r="F52" s="176">
        <v>0</v>
      </c>
      <c r="G52" s="177">
        <v>0</v>
      </c>
    </row>
    <row r="53" spans="1:7" x14ac:dyDescent="0.25">
      <c r="A53" s="172" t="s">
        <v>58</v>
      </c>
      <c r="B53" s="173">
        <v>0</v>
      </c>
      <c r="C53" s="173">
        <v>0</v>
      </c>
      <c r="D53" s="174">
        <v>0</v>
      </c>
      <c r="E53" s="175">
        <v>0</v>
      </c>
      <c r="F53" s="176">
        <v>0</v>
      </c>
      <c r="G53" s="177">
        <v>0</v>
      </c>
    </row>
    <row r="54" spans="1:7" x14ac:dyDescent="0.25">
      <c r="A54" s="172" t="s">
        <v>59</v>
      </c>
      <c r="B54" s="173">
        <v>17985130</v>
      </c>
      <c r="C54" s="173">
        <v>0</v>
      </c>
      <c r="D54" s="174">
        <v>0</v>
      </c>
      <c r="E54" s="175">
        <v>0</v>
      </c>
      <c r="F54" s="176">
        <v>0</v>
      </c>
      <c r="G54" s="177">
        <v>0</v>
      </c>
    </row>
    <row r="55" spans="1:7" x14ac:dyDescent="0.25">
      <c r="A55" s="172" t="s">
        <v>60</v>
      </c>
      <c r="B55" s="173">
        <v>25557767</v>
      </c>
      <c r="C55" s="173">
        <v>25455396</v>
      </c>
      <c r="D55" s="174">
        <v>0</v>
      </c>
      <c r="E55" s="175">
        <v>0</v>
      </c>
      <c r="F55" s="176">
        <v>0</v>
      </c>
      <c r="G55" s="177">
        <v>0</v>
      </c>
    </row>
    <row r="56" spans="1:7" x14ac:dyDescent="0.25">
      <c r="A56" s="172" t="s">
        <v>61</v>
      </c>
      <c r="B56" s="173">
        <v>25447769</v>
      </c>
      <c r="C56" s="173">
        <v>1143291</v>
      </c>
      <c r="D56" s="174">
        <v>0</v>
      </c>
      <c r="E56" s="175">
        <v>0</v>
      </c>
      <c r="F56" s="176">
        <v>0</v>
      </c>
      <c r="G56" s="177">
        <v>0</v>
      </c>
    </row>
    <row r="57" spans="1:7" ht="15.6" thickBot="1" x14ac:dyDescent="0.3">
      <c r="A57" s="172" t="s">
        <v>62</v>
      </c>
      <c r="B57" s="173">
        <v>0</v>
      </c>
      <c r="C57" s="173">
        <v>0</v>
      </c>
      <c r="D57" s="174">
        <v>0</v>
      </c>
      <c r="E57" s="175">
        <v>0</v>
      </c>
      <c r="F57" s="176">
        <v>0</v>
      </c>
      <c r="G57" s="177">
        <v>0</v>
      </c>
    </row>
    <row r="58" spans="1:7" ht="16.2" thickTop="1" x14ac:dyDescent="0.3">
      <c r="A58" s="179" t="s">
        <v>83</v>
      </c>
      <c r="B58" s="180">
        <f>SUM(B41:B57)</f>
        <v>1947744497.9946506</v>
      </c>
      <c r="C58" s="180">
        <f>SUM(C41:C57)</f>
        <v>1972895946.5163105</v>
      </c>
      <c r="D58" s="181">
        <f>SUM(D41:D57)</f>
        <v>1038560495</v>
      </c>
      <c r="E58" s="182">
        <f t="shared" ref="E58:F58" si="3">SUM(E41:E57)</f>
        <v>364877263.54864818</v>
      </c>
      <c r="F58" s="183">
        <f t="shared" si="3"/>
        <v>640487421.80000019</v>
      </c>
      <c r="G58" s="180">
        <f>SUM(G41:G57)</f>
        <v>2043925180.0180402</v>
      </c>
    </row>
    <row r="59" spans="1:7" x14ac:dyDescent="0.25">
      <c r="A59" s="158"/>
      <c r="B59" s="159"/>
      <c r="C59" s="160"/>
      <c r="D59" s="161"/>
      <c r="E59" s="166"/>
      <c r="F59" s="162"/>
      <c r="G59" s="160"/>
    </row>
    <row r="60" spans="1:7" ht="15.6" x14ac:dyDescent="0.3">
      <c r="A60" s="156" t="s">
        <v>84</v>
      </c>
      <c r="B60" s="184"/>
      <c r="C60" s="160"/>
      <c r="D60" s="161"/>
      <c r="E60" s="166"/>
      <c r="F60" s="162"/>
      <c r="G60" s="160"/>
    </row>
    <row r="61" spans="1:7" x14ac:dyDescent="0.25">
      <c r="A61" s="158" t="s">
        <v>85</v>
      </c>
      <c r="B61" s="159">
        <v>0</v>
      </c>
      <c r="C61" s="159">
        <v>0</v>
      </c>
      <c r="D61" s="161"/>
      <c r="E61" s="166"/>
      <c r="F61" s="162"/>
      <c r="G61" s="160"/>
    </row>
    <row r="62" spans="1:7" x14ac:dyDescent="0.25">
      <c r="A62" s="165" t="s">
        <v>86</v>
      </c>
      <c r="B62" s="159">
        <v>45992613</v>
      </c>
      <c r="C62" s="159">
        <v>46878783</v>
      </c>
      <c r="D62" s="161">
        <v>0</v>
      </c>
      <c r="E62" s="166">
        <v>67811729</v>
      </c>
      <c r="F62" s="162">
        <v>0</v>
      </c>
      <c r="G62" s="160">
        <v>67811729</v>
      </c>
    </row>
    <row r="63" spans="1:7" x14ac:dyDescent="0.25">
      <c r="A63" s="165" t="s">
        <v>87</v>
      </c>
      <c r="B63" s="159">
        <v>0</v>
      </c>
      <c r="C63" s="159">
        <v>0</v>
      </c>
      <c r="D63" s="161">
        <v>0</v>
      </c>
      <c r="E63" s="166">
        <v>0</v>
      </c>
      <c r="F63" s="162">
        <v>0</v>
      </c>
      <c r="G63" s="160">
        <v>0</v>
      </c>
    </row>
    <row r="64" spans="1:7" x14ac:dyDescent="0.25">
      <c r="A64" s="167" t="s">
        <v>88</v>
      </c>
      <c r="B64" s="159">
        <v>0</v>
      </c>
      <c r="C64" s="159">
        <v>0</v>
      </c>
      <c r="D64" s="161">
        <v>0</v>
      </c>
      <c r="E64" s="166">
        <v>0</v>
      </c>
      <c r="F64" s="162">
        <v>0</v>
      </c>
      <c r="G64" s="160">
        <v>0</v>
      </c>
    </row>
    <row r="65" spans="1:7" ht="15.6" x14ac:dyDescent="0.3">
      <c r="A65" s="185" t="s">
        <v>89</v>
      </c>
      <c r="B65" s="168">
        <f>SUM(B62:B64)</f>
        <v>45992613</v>
      </c>
      <c r="C65" s="168">
        <f>SUM(C62:C64)</f>
        <v>46878783</v>
      </c>
      <c r="D65" s="169">
        <f t="shared" ref="D65:G65" si="4">SUM(D62:D64)</f>
        <v>0</v>
      </c>
      <c r="E65" s="170">
        <f t="shared" si="4"/>
        <v>67811729</v>
      </c>
      <c r="F65" s="171">
        <f t="shared" si="4"/>
        <v>0</v>
      </c>
      <c r="G65" s="168">
        <f t="shared" si="4"/>
        <v>67811729</v>
      </c>
    </row>
    <row r="66" spans="1:7" x14ac:dyDescent="0.25">
      <c r="A66" s="158"/>
      <c r="B66" s="159"/>
      <c r="C66" s="160"/>
      <c r="D66" s="161"/>
      <c r="E66" s="166"/>
      <c r="F66" s="162"/>
      <c r="G66" s="160"/>
    </row>
    <row r="67" spans="1:7" x14ac:dyDescent="0.25">
      <c r="A67" s="158" t="s">
        <v>90</v>
      </c>
      <c r="B67" s="159"/>
      <c r="C67" s="160"/>
      <c r="D67" s="161"/>
      <c r="E67" s="166"/>
      <c r="F67" s="162"/>
      <c r="G67" s="160"/>
    </row>
    <row r="68" spans="1:7" x14ac:dyDescent="0.25">
      <c r="A68" s="165" t="s">
        <v>91</v>
      </c>
      <c r="B68" s="159">
        <v>0</v>
      </c>
      <c r="C68" s="159">
        <v>0</v>
      </c>
      <c r="D68" s="161">
        <v>0</v>
      </c>
      <c r="E68" s="166">
        <v>0</v>
      </c>
      <c r="F68" s="162">
        <v>0</v>
      </c>
      <c r="G68" s="160">
        <v>0</v>
      </c>
    </row>
    <row r="69" spans="1:7" x14ac:dyDescent="0.25">
      <c r="A69" s="167" t="s">
        <v>92</v>
      </c>
      <c r="B69" s="159">
        <v>32192775</v>
      </c>
      <c r="C69" s="159">
        <v>48804117</v>
      </c>
      <c r="D69" s="161">
        <v>0</v>
      </c>
      <c r="E69" s="166">
        <v>31330999</v>
      </c>
      <c r="F69" s="162">
        <v>0</v>
      </c>
      <c r="G69" s="160">
        <v>31330999</v>
      </c>
    </row>
    <row r="70" spans="1:7" ht="16.2" thickBot="1" x14ac:dyDescent="0.35">
      <c r="A70" s="186" t="s">
        <v>93</v>
      </c>
      <c r="B70" s="187">
        <f>SUM(B68:B69)</f>
        <v>32192775</v>
      </c>
      <c r="C70" s="187">
        <f>SUM(C68:C69)</f>
        <v>48804117</v>
      </c>
      <c r="D70" s="188">
        <f t="shared" ref="D70:G70" si="5">SUM(D68:D69)</f>
        <v>0</v>
      </c>
      <c r="E70" s="189">
        <f t="shared" si="5"/>
        <v>31330999</v>
      </c>
      <c r="F70" s="190">
        <f t="shared" si="5"/>
        <v>0</v>
      </c>
      <c r="G70" s="187">
        <f t="shared" si="5"/>
        <v>31330999</v>
      </c>
    </row>
    <row r="71" spans="1:7" ht="16.2" thickTop="1" x14ac:dyDescent="0.3">
      <c r="A71" s="191" t="s">
        <v>94</v>
      </c>
      <c r="B71" s="192">
        <f>B58+B65+B70</f>
        <v>2025929885.9946506</v>
      </c>
      <c r="C71" s="192">
        <f>C58+C65+C70</f>
        <v>2068578846.5163105</v>
      </c>
      <c r="D71" s="193">
        <f>D58+D65+D70</f>
        <v>1038560495</v>
      </c>
      <c r="E71" s="194">
        <f t="shared" ref="E71:G71" si="6">E58+E65+E70</f>
        <v>464019991.54864818</v>
      </c>
      <c r="F71" s="195">
        <f t="shared" si="6"/>
        <v>640487421.80000019</v>
      </c>
      <c r="G71" s="192">
        <f t="shared" si="6"/>
        <v>2143067908.0180402</v>
      </c>
    </row>
    <row r="72" spans="1:7" ht="15.6" x14ac:dyDescent="0.3">
      <c r="A72" s="196" t="s">
        <v>95</v>
      </c>
      <c r="B72" s="184"/>
      <c r="C72" s="184"/>
      <c r="D72" s="197"/>
      <c r="E72" s="198"/>
      <c r="F72" s="199"/>
      <c r="G72" s="184"/>
    </row>
    <row r="73" spans="1:7" x14ac:dyDescent="0.25">
      <c r="A73" s="172" t="s">
        <v>56</v>
      </c>
      <c r="B73" s="159">
        <v>0</v>
      </c>
      <c r="C73" s="159">
        <v>0</v>
      </c>
      <c r="D73" s="118">
        <v>0</v>
      </c>
      <c r="E73" s="166">
        <v>0</v>
      </c>
      <c r="F73" s="119">
        <v>0</v>
      </c>
      <c r="G73" s="120">
        <v>0</v>
      </c>
    </row>
    <row r="74" spans="1:7" x14ac:dyDescent="0.25">
      <c r="A74" s="172" t="s">
        <v>57</v>
      </c>
      <c r="B74" s="159">
        <v>0</v>
      </c>
      <c r="C74" s="159">
        <v>0</v>
      </c>
      <c r="D74" s="118">
        <v>0</v>
      </c>
      <c r="E74" s="166">
        <v>0</v>
      </c>
      <c r="F74" s="119">
        <v>0</v>
      </c>
      <c r="G74" s="120">
        <v>0</v>
      </c>
    </row>
    <row r="75" spans="1:7" x14ac:dyDescent="0.25">
      <c r="A75" s="172" t="s">
        <v>58</v>
      </c>
      <c r="B75" s="159">
        <v>0</v>
      </c>
      <c r="C75" s="159">
        <v>0</v>
      </c>
      <c r="D75" s="118">
        <v>0</v>
      </c>
      <c r="E75" s="166">
        <v>0</v>
      </c>
      <c r="F75" s="119">
        <v>0</v>
      </c>
      <c r="G75" s="120">
        <v>0</v>
      </c>
    </row>
    <row r="76" spans="1:7" x14ac:dyDescent="0.25">
      <c r="A76" s="172" t="s">
        <v>59</v>
      </c>
      <c r="B76" s="159">
        <v>0</v>
      </c>
      <c r="C76" s="159">
        <v>0</v>
      </c>
      <c r="D76" s="118">
        <v>0</v>
      </c>
      <c r="E76" s="166">
        <v>0</v>
      </c>
      <c r="F76" s="119">
        <v>0</v>
      </c>
      <c r="G76" s="120">
        <v>0</v>
      </c>
    </row>
    <row r="77" spans="1:7" x14ac:dyDescent="0.25">
      <c r="A77" s="172" t="s">
        <v>60</v>
      </c>
      <c r="B77" s="159">
        <v>0</v>
      </c>
      <c r="C77" s="159">
        <v>0</v>
      </c>
      <c r="D77" s="118">
        <v>0</v>
      </c>
      <c r="E77" s="166">
        <v>0</v>
      </c>
      <c r="F77" s="119">
        <v>0</v>
      </c>
      <c r="G77" s="120">
        <v>0</v>
      </c>
    </row>
    <row r="78" spans="1:7" x14ac:dyDescent="0.25">
      <c r="A78" s="172" t="s">
        <v>61</v>
      </c>
      <c r="B78" s="159">
        <v>0</v>
      </c>
      <c r="C78" s="159">
        <v>0</v>
      </c>
      <c r="D78" s="118">
        <v>0</v>
      </c>
      <c r="E78" s="166">
        <v>0</v>
      </c>
      <c r="F78" s="119">
        <v>0</v>
      </c>
      <c r="G78" s="120">
        <v>0</v>
      </c>
    </row>
    <row r="79" spans="1:7" x14ac:dyDescent="0.25">
      <c r="A79" s="200" t="s">
        <v>96</v>
      </c>
      <c r="B79" s="201">
        <v>0</v>
      </c>
      <c r="C79" s="201">
        <v>0</v>
      </c>
      <c r="D79" s="123">
        <v>0</v>
      </c>
      <c r="E79" s="202">
        <v>0</v>
      </c>
      <c r="F79" s="125">
        <v>0</v>
      </c>
      <c r="G79" s="126">
        <v>0</v>
      </c>
    </row>
    <row r="80" spans="1:7" ht="15.6" thickBot="1" x14ac:dyDescent="0.3">
      <c r="A80" s="203" t="s">
        <v>97</v>
      </c>
      <c r="B80" s="128">
        <f>B37-B71</f>
        <v>-0.23249483108520508</v>
      </c>
      <c r="C80" s="128">
        <f>C37-C71</f>
        <v>0.48368954658508301</v>
      </c>
      <c r="D80" s="128">
        <f>D37-D71</f>
        <v>0</v>
      </c>
      <c r="E80" s="129">
        <f t="shared" ref="E80:G80" si="7">E37-E71</f>
        <v>0.22135192155838013</v>
      </c>
      <c r="F80" s="130">
        <f t="shared" si="7"/>
        <v>-0.1400001049041748</v>
      </c>
      <c r="G80" s="131">
        <f t="shared" si="7"/>
        <v>0.41195964813232422</v>
      </c>
    </row>
    <row r="81" spans="1:7" x14ac:dyDescent="0.25">
      <c r="C81" s="205"/>
      <c r="D81" s="205"/>
      <c r="E81" s="205"/>
      <c r="F81" s="205"/>
    </row>
    <row r="82" spans="1:7" ht="13.2" x14ac:dyDescent="0.25">
      <c r="A82" s="206" t="s">
        <v>98</v>
      </c>
      <c r="B82" s="207"/>
      <c r="C82" s="207"/>
      <c r="D82" s="207"/>
      <c r="E82" s="207"/>
      <c r="F82" s="207"/>
      <c r="G82" s="207"/>
    </row>
    <row r="83" spans="1:7" ht="13.2" x14ac:dyDescent="0.25">
      <c r="A83" s="208"/>
      <c r="B83" s="208"/>
      <c r="C83" s="208"/>
      <c r="D83" s="208"/>
      <c r="E83" s="208"/>
      <c r="F83" s="208"/>
      <c r="G83" s="208"/>
    </row>
  </sheetData>
  <mergeCells count="3">
    <mergeCell ref="A5:A6"/>
    <mergeCell ref="B5:C5"/>
    <mergeCell ref="D5:G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2"/>
  <sheetViews>
    <sheetView zoomScaleNormal="100" workbookViewId="0">
      <selection activeCell="H23" sqref="H23"/>
    </sheetView>
  </sheetViews>
  <sheetFormatPr defaultColWidth="9.109375" defaultRowHeight="15.6" x14ac:dyDescent="0.3"/>
  <cols>
    <col min="1" max="1" width="76.5546875" style="132" customWidth="1"/>
    <col min="2" max="2" width="18.88671875" style="132" bestFit="1" customWidth="1"/>
    <col min="3" max="3" width="18.6640625" style="132" customWidth="1"/>
    <col min="4" max="5" width="18.6640625" style="48" customWidth="1"/>
    <col min="6" max="6" width="18" style="48" customWidth="1"/>
    <col min="7" max="7" width="22.109375" style="48" customWidth="1"/>
    <col min="8" max="8" width="9.109375" style="37"/>
    <col min="9" max="10" width="12.109375" style="37" bestFit="1" customWidth="1"/>
    <col min="11" max="16384" width="9.109375" style="37"/>
  </cols>
  <sheetData>
    <row r="1" spans="1:10" x14ac:dyDescent="0.3">
      <c r="A1" s="36" t="s">
        <v>31</v>
      </c>
      <c r="B1" s="36"/>
      <c r="C1" s="36"/>
      <c r="D1" s="36"/>
      <c r="E1" s="36"/>
      <c r="F1" s="36"/>
      <c r="G1" s="36"/>
    </row>
    <row r="2" spans="1:10" x14ac:dyDescent="0.3">
      <c r="A2" s="36" t="s">
        <v>32</v>
      </c>
      <c r="B2" s="36"/>
      <c r="C2" s="36"/>
      <c r="D2" s="36"/>
      <c r="E2" s="36"/>
      <c r="F2" s="36"/>
      <c r="G2" s="36"/>
    </row>
    <row r="3" spans="1:10" x14ac:dyDescent="0.3">
      <c r="A3" s="38" t="s">
        <v>33</v>
      </c>
      <c r="B3" s="38"/>
      <c r="C3" s="38"/>
      <c r="D3" s="38"/>
      <c r="E3" s="38"/>
      <c r="F3" s="38"/>
      <c r="G3" s="38"/>
    </row>
    <row r="4" spans="1:10" ht="16.2" thickBot="1" x14ac:dyDescent="0.35">
      <c r="A4" s="39"/>
      <c r="B4" s="40" t="s">
        <v>34</v>
      </c>
      <c r="C4" s="40" t="s">
        <v>35</v>
      </c>
      <c r="D4" s="40" t="s">
        <v>36</v>
      </c>
      <c r="E4" s="39"/>
      <c r="F4" s="39"/>
      <c r="G4" s="39"/>
    </row>
    <row r="5" spans="1:10" ht="16.2" thickBot="1" x14ac:dyDescent="0.35">
      <c r="A5" s="243" t="s">
        <v>37</v>
      </c>
      <c r="B5" s="245" t="s">
        <v>38</v>
      </c>
      <c r="C5" s="246"/>
      <c r="D5" s="247" t="s">
        <v>39</v>
      </c>
      <c r="E5" s="248"/>
      <c r="F5" s="248"/>
      <c r="G5" s="249"/>
    </row>
    <row r="6" spans="1:10" ht="47.4" thickBot="1" x14ac:dyDescent="0.35">
      <c r="A6" s="244"/>
      <c r="B6" s="41" t="s">
        <v>40</v>
      </c>
      <c r="C6" s="144" t="s">
        <v>41</v>
      </c>
      <c r="D6" s="42" t="s">
        <v>42</v>
      </c>
      <c r="E6" s="43" t="s">
        <v>43</v>
      </c>
      <c r="F6" s="44" t="s">
        <v>44</v>
      </c>
      <c r="G6" s="41" t="s">
        <v>45</v>
      </c>
    </row>
    <row r="7" spans="1:10" x14ac:dyDescent="0.3">
      <c r="A7" s="45" t="s">
        <v>46</v>
      </c>
      <c r="B7" s="46"/>
      <c r="C7" s="145"/>
      <c r="D7" s="47"/>
      <c r="G7" s="49"/>
    </row>
    <row r="8" spans="1:10" x14ac:dyDescent="0.3">
      <c r="A8" s="50" t="s">
        <v>9</v>
      </c>
      <c r="B8" s="51"/>
      <c r="C8" s="146"/>
      <c r="D8" s="53"/>
      <c r="E8" s="54"/>
      <c r="F8" s="54"/>
      <c r="G8" s="52"/>
    </row>
    <row r="9" spans="1:10" x14ac:dyDescent="0.3">
      <c r="A9" s="55" t="s">
        <v>26</v>
      </c>
      <c r="B9" s="51">
        <f>'[1]E&amp;G'!B9+[1]Auxiliary!B9+[1]Restricted!B9</f>
        <v>17576926</v>
      </c>
      <c r="C9" s="147">
        <f>'[1]E&amp;G'!C9+[1]Auxiliary!C9+[1]Restricted!C9</f>
        <v>17576926</v>
      </c>
      <c r="D9" s="56">
        <f>'[1]E&amp;G'!F9</f>
        <v>42293747</v>
      </c>
      <c r="E9" s="57">
        <f>[1]Auxiliary!D9</f>
        <v>0</v>
      </c>
      <c r="F9" s="54">
        <f>[1]Restricted!D9</f>
        <v>0</v>
      </c>
      <c r="G9" s="52">
        <f>SUM(D9:F9)</f>
        <v>42293747</v>
      </c>
      <c r="I9" s="58">
        <f>D9+D20</f>
        <v>98753805</v>
      </c>
    </row>
    <row r="10" spans="1:10" x14ac:dyDescent="0.3">
      <c r="A10" s="59" t="s">
        <v>47</v>
      </c>
      <c r="B10" s="51">
        <f>'[1]E&amp;G'!B10+[1]Auxiliary!B10+[1]Restricted!B10</f>
        <v>253902787</v>
      </c>
      <c r="C10" s="147">
        <f>'[1]E&amp;G'!C10+[1]Auxiliary!C10+[1]Restricted!C10</f>
        <v>256288629</v>
      </c>
      <c r="D10" s="60">
        <f>'[1]E&amp;G'!F10</f>
        <v>268357278</v>
      </c>
      <c r="E10" s="57">
        <f>[1]Auxiliary!D10</f>
        <v>0</v>
      </c>
      <c r="F10" s="54">
        <f>[1]Restricted!D10</f>
        <v>0</v>
      </c>
      <c r="G10" s="52">
        <f>SUM(D10:F10)</f>
        <v>268357278</v>
      </c>
      <c r="I10" s="61">
        <f>D10+D11+D13</f>
        <v>786231721</v>
      </c>
      <c r="J10" s="62"/>
    </row>
    <row r="11" spans="1:10" x14ac:dyDescent="0.3">
      <c r="A11" s="59" t="s">
        <v>48</v>
      </c>
      <c r="B11" s="51">
        <f>'[1]E&amp;G'!B11+[1]Auxiliary!B11+[1]Restricted!B11</f>
        <v>512752735</v>
      </c>
      <c r="C11" s="147">
        <f>'[1]E&amp;G'!C11+[1]Auxiliary!C11+[1]Restricted!C11</f>
        <v>495877334</v>
      </c>
      <c r="D11" s="60">
        <f>'[1]E&amp;G'!F11</f>
        <v>508982102</v>
      </c>
      <c r="E11" s="57">
        <f>[1]Auxiliary!D11</f>
        <v>0</v>
      </c>
      <c r="F11" s="54">
        <f>[1]Restricted!D11</f>
        <v>0</v>
      </c>
      <c r="G11" s="52">
        <f>SUM(D11:F11)</f>
        <v>508982102</v>
      </c>
      <c r="I11" s="63">
        <f>F17+F18</f>
        <v>367546646.898</v>
      </c>
    </row>
    <row r="12" spans="1:10" x14ac:dyDescent="0.3">
      <c r="A12" s="64" t="s">
        <v>49</v>
      </c>
      <c r="B12" s="51">
        <f>'[1]E&amp;G'!B12+[1]Auxiliary!B12+[1]Restricted!B12</f>
        <v>35703795</v>
      </c>
      <c r="C12" s="147">
        <f>'[1]E&amp;G'!C12+[1]Auxiliary!C12+[1]Restricted!C12</f>
        <v>35257470</v>
      </c>
      <c r="D12" s="53">
        <f>'[1]E&amp;G'!F12</f>
        <v>0</v>
      </c>
      <c r="E12" s="57">
        <f>[1]Auxiliary!D12</f>
        <v>35610044.700000003</v>
      </c>
      <c r="F12" s="54">
        <f>[1]Restricted!D12</f>
        <v>0</v>
      </c>
      <c r="G12" s="52">
        <f>SUM(D12:F12)</f>
        <v>35610044.700000003</v>
      </c>
      <c r="I12" s="65">
        <f>E37</f>
        <v>404777175.76215571</v>
      </c>
    </row>
    <row r="13" spans="1:10" x14ac:dyDescent="0.3">
      <c r="A13" s="66" t="s">
        <v>50</v>
      </c>
      <c r="B13" s="51">
        <f>'[1]E&amp;G'!B13+[1]Auxiliary!B13+[1]Restricted!B13</f>
        <v>63512495</v>
      </c>
      <c r="C13" s="147">
        <f>'[1]E&amp;G'!C13+[1]Auxiliary!C13+[1]Restricted!C13</f>
        <v>56565805</v>
      </c>
      <c r="D13" s="60">
        <f>'[1]E&amp;G'!F13</f>
        <v>8892341</v>
      </c>
      <c r="E13" s="57">
        <f>[1]Auxiliary!D13</f>
        <v>53484861</v>
      </c>
      <c r="F13" s="54">
        <f>[1]Restricted!D13</f>
        <v>0</v>
      </c>
      <c r="G13" s="52">
        <f>SUM(D13:F13)</f>
        <v>62377202</v>
      </c>
      <c r="I13" s="67">
        <f>F15+F29</f>
        <v>203452464.12</v>
      </c>
    </row>
    <row r="14" spans="1:10" x14ac:dyDescent="0.3">
      <c r="A14" s="68" t="s">
        <v>29</v>
      </c>
      <c r="B14" s="69">
        <f t="shared" ref="B14:G14" si="0">SUM(B9:B13)</f>
        <v>883448738</v>
      </c>
      <c r="C14" s="148">
        <f t="shared" si="0"/>
        <v>861566164</v>
      </c>
      <c r="D14" s="70">
        <f t="shared" si="0"/>
        <v>828525468</v>
      </c>
      <c r="E14" s="71">
        <f t="shared" si="0"/>
        <v>89094905.700000003</v>
      </c>
      <c r="F14" s="72">
        <f t="shared" si="0"/>
        <v>0</v>
      </c>
      <c r="G14" s="69">
        <f t="shared" si="0"/>
        <v>917620373.70000005</v>
      </c>
    </row>
    <row r="15" spans="1:10" x14ac:dyDescent="0.3">
      <c r="A15" s="73" t="s">
        <v>51</v>
      </c>
      <c r="B15" s="51">
        <f>'[1]E&amp;G'!B15+[1]Auxiliary!B15+[1]Restricted!B15</f>
        <v>170945</v>
      </c>
      <c r="C15" s="147">
        <f>'[1]E&amp;G'!C15+[1]Auxiliary!C15+[1]Restricted!C15</f>
        <v>43622</v>
      </c>
      <c r="D15" s="53">
        <f>'[1]E&amp;G'!F15</f>
        <v>0</v>
      </c>
      <c r="E15" s="57">
        <f>[1]Auxiliary!D15</f>
        <v>0</v>
      </c>
      <c r="F15" s="74">
        <f>[1]Restricted!D15</f>
        <v>107283.5</v>
      </c>
      <c r="G15" s="52">
        <f>SUM(D15:F15)</f>
        <v>107283.5</v>
      </c>
    </row>
    <row r="16" spans="1:10" x14ac:dyDescent="0.3">
      <c r="A16" s="50" t="s">
        <v>52</v>
      </c>
      <c r="B16" s="51">
        <f>'[1]E&amp;G'!B16+[1]Auxiliary!B16+[1]Restricted!B16</f>
        <v>0</v>
      </c>
      <c r="C16" s="147">
        <f>'[1]E&amp;G'!C16+[1]Auxiliary!C16+[1]Restricted!C16</f>
        <v>0</v>
      </c>
      <c r="D16" s="53"/>
      <c r="E16" s="57"/>
      <c r="F16" s="54"/>
      <c r="G16" s="52"/>
    </row>
    <row r="17" spans="1:9" x14ac:dyDescent="0.3">
      <c r="A17" s="75" t="s">
        <v>10</v>
      </c>
      <c r="B17" s="51">
        <f>'[1]E&amp;G'!B17+[1]Auxiliary!B17+[1]Restricted!B17</f>
        <v>317030346</v>
      </c>
      <c r="C17" s="147">
        <f>'[1]E&amp;G'!C17+[1]Auxiliary!C17+[1]Restricted!C17</f>
        <v>350756536</v>
      </c>
      <c r="D17" s="53">
        <f>'[1]E&amp;G'!F17</f>
        <v>0</v>
      </c>
      <c r="E17" s="57">
        <f>[1]Auxiliary!D17</f>
        <v>0</v>
      </c>
      <c r="F17" s="76">
        <f>[1]Restricted!D17</f>
        <v>364436040.90399998</v>
      </c>
      <c r="G17" s="52">
        <f t="shared" ref="G17:G27" si="1">SUM(D17:F17)</f>
        <v>364436040.90399998</v>
      </c>
    </row>
    <row r="18" spans="1:9" x14ac:dyDescent="0.3">
      <c r="A18" s="75" t="s">
        <v>53</v>
      </c>
      <c r="B18" s="51">
        <f>'[1]E&amp;G'!B18+[1]Auxiliary!B18+[1]Restricted!B18</f>
        <v>4291668</v>
      </c>
      <c r="C18" s="147">
        <f>'[1]E&amp;G'!C18+[1]Auxiliary!C18+[1]Restricted!C18</f>
        <v>2993846</v>
      </c>
      <c r="D18" s="53">
        <f>'[1]E&amp;G'!F18</f>
        <v>0</v>
      </c>
      <c r="E18" s="57">
        <f>[1]Auxiliary!D18</f>
        <v>0</v>
      </c>
      <c r="F18" s="76">
        <f>[1]Restricted!D18</f>
        <v>3110605.9939999999</v>
      </c>
      <c r="G18" s="52">
        <f t="shared" si="1"/>
        <v>3110605.9939999999</v>
      </c>
    </row>
    <row r="19" spans="1:9" x14ac:dyDescent="0.3">
      <c r="A19" s="64" t="s">
        <v>54</v>
      </c>
      <c r="B19" s="51">
        <f>'[1]E&amp;G'!B19+[1]Auxiliary!B19+[1]Restricted!B19</f>
        <v>0</v>
      </c>
      <c r="C19" s="147">
        <f>'[1]E&amp;G'!C19+[1]Auxiliary!C19+[1]Restricted!C19</f>
        <v>0</v>
      </c>
      <c r="D19" s="53">
        <f>'[1]E&amp;G'!F19</f>
        <v>0</v>
      </c>
      <c r="E19" s="57">
        <f>[1]Auxiliary!D19</f>
        <v>0</v>
      </c>
      <c r="F19" s="54">
        <f>[1]Restricted!D19</f>
        <v>0</v>
      </c>
      <c r="G19" s="52">
        <f t="shared" si="1"/>
        <v>0</v>
      </c>
    </row>
    <row r="20" spans="1:9" x14ac:dyDescent="0.3">
      <c r="A20" s="77" t="s">
        <v>55</v>
      </c>
      <c r="B20" s="51">
        <f>'[1]E&amp;G'!B20+[1]Auxiliary!B20+[1]Restricted!B20</f>
        <v>20747242</v>
      </c>
      <c r="C20" s="147">
        <f>'[1]E&amp;G'!C20+[1]Auxiliary!C20+[1]Restricted!C20</f>
        <v>20747242</v>
      </c>
      <c r="D20" s="56">
        <f>'[1]E&amp;G'!F20</f>
        <v>56460058</v>
      </c>
      <c r="E20" s="57">
        <f>[1]Auxiliary!D20</f>
        <v>0</v>
      </c>
      <c r="F20" s="54">
        <f>[1]Restricted!D20</f>
        <v>0</v>
      </c>
      <c r="G20" s="52">
        <f t="shared" si="1"/>
        <v>56460058</v>
      </c>
    </row>
    <row r="21" spans="1:9" x14ac:dyDescent="0.3">
      <c r="A21" s="78" t="s">
        <v>56</v>
      </c>
      <c r="B21" s="79">
        <f>9366204-4894507</f>
        <v>4471697</v>
      </c>
      <c r="C21" s="147">
        <f>9366204-4894507</f>
        <v>4471697</v>
      </c>
      <c r="D21" s="80">
        <f>'[1]E&amp;G'!F21</f>
        <v>0</v>
      </c>
      <c r="E21" s="81">
        <f>[1]Auxiliary!D21</f>
        <v>0</v>
      </c>
      <c r="F21" s="82">
        <v>0</v>
      </c>
      <c r="G21" s="83">
        <f t="shared" si="1"/>
        <v>0</v>
      </c>
    </row>
    <row r="22" spans="1:9" x14ac:dyDescent="0.3">
      <c r="A22" s="78" t="s">
        <v>57</v>
      </c>
      <c r="B22" s="79">
        <v>9366204</v>
      </c>
      <c r="C22" s="147">
        <v>9366204</v>
      </c>
      <c r="D22" s="80">
        <f>'[1]E&amp;G'!F22</f>
        <v>0</v>
      </c>
      <c r="E22" s="81">
        <f>[1]Auxiliary!D22</f>
        <v>0</v>
      </c>
      <c r="F22" s="82">
        <v>0</v>
      </c>
      <c r="G22" s="83">
        <f t="shared" si="1"/>
        <v>0</v>
      </c>
    </row>
    <row r="23" spans="1:9" x14ac:dyDescent="0.3">
      <c r="A23" s="84" t="s">
        <v>58</v>
      </c>
      <c r="B23" s="79">
        <v>9366204</v>
      </c>
      <c r="C23" s="147">
        <v>9366204</v>
      </c>
      <c r="D23" s="80">
        <f>'[1]E&amp;G'!F23</f>
        <v>0</v>
      </c>
      <c r="E23" s="81">
        <f>[1]Auxiliary!D23</f>
        <v>0</v>
      </c>
      <c r="F23" s="82">
        <f>[1]Restricted!D23</f>
        <v>0</v>
      </c>
      <c r="G23" s="83">
        <f t="shared" si="1"/>
        <v>0</v>
      </c>
      <c r="H23" s="85"/>
    </row>
    <row r="24" spans="1:9" x14ac:dyDescent="0.3">
      <c r="A24" s="84" t="s">
        <v>59</v>
      </c>
      <c r="B24" s="79">
        <v>19294095</v>
      </c>
      <c r="C24" s="147">
        <v>1308965</v>
      </c>
      <c r="D24" s="80">
        <f>'[1]E&amp;G'!F24</f>
        <v>0</v>
      </c>
      <c r="E24" s="81">
        <f>[1]Auxiliary!D24</f>
        <v>0</v>
      </c>
      <c r="F24" s="82">
        <v>17985130</v>
      </c>
      <c r="G24" s="83">
        <f t="shared" si="1"/>
        <v>17985130</v>
      </c>
      <c r="H24" s="85"/>
      <c r="I24" s="143">
        <f>SUM(G24:G26)</f>
        <v>68990666</v>
      </c>
    </row>
    <row r="25" spans="1:9" x14ac:dyDescent="0.3">
      <c r="A25" s="84" t="s">
        <v>60</v>
      </c>
      <c r="B25" s="79">
        <f>'[1]E&amp;G'!B25+[1]Auxiliary!B25+[1]Restricted!B25</f>
        <v>0</v>
      </c>
      <c r="C25" s="147">
        <f>'[1]E&amp;G'!C25+[1]Auxiliary!C25+[1]Restricted!C25</f>
        <v>0</v>
      </c>
      <c r="D25" s="80">
        <f>'[1]E&amp;G'!F25</f>
        <v>0</v>
      </c>
      <c r="E25" s="81">
        <f>[1]Auxiliary!D25</f>
        <v>0</v>
      </c>
      <c r="F25" s="82">
        <v>25557767</v>
      </c>
      <c r="G25" s="83">
        <f t="shared" si="1"/>
        <v>25557767</v>
      </c>
      <c r="H25" s="85"/>
    </row>
    <row r="26" spans="1:9" x14ac:dyDescent="0.3">
      <c r="A26" s="84" t="s">
        <v>61</v>
      </c>
      <c r="B26" s="79">
        <f>'[1]E&amp;G'!B26+[1]Auxiliary!B26+[1]Restricted!B26</f>
        <v>0</v>
      </c>
      <c r="C26" s="147">
        <f>'[1]E&amp;G'!C26+[1]Auxiliary!C26+[1]Restricted!C26</f>
        <v>0</v>
      </c>
      <c r="D26" s="80">
        <f>'[1]E&amp;G'!F26</f>
        <v>0</v>
      </c>
      <c r="E26" s="81">
        <f>[1]Auxiliary!D26</f>
        <v>0</v>
      </c>
      <c r="F26" s="82">
        <v>25447769</v>
      </c>
      <c r="G26" s="83">
        <f t="shared" si="1"/>
        <v>25447769</v>
      </c>
      <c r="H26" s="85"/>
      <c r="I26" s="62"/>
    </row>
    <row r="27" spans="1:9" x14ac:dyDescent="0.3">
      <c r="A27" s="78" t="s">
        <v>62</v>
      </c>
      <c r="B27" s="79">
        <f>48272824</f>
        <v>48272824</v>
      </c>
      <c r="C27" s="147">
        <f>48272824</f>
        <v>48272824</v>
      </c>
      <c r="D27" s="80">
        <f>'[1]E&amp;G'!F27</f>
        <v>0</v>
      </c>
      <c r="E27" s="81">
        <f>[1]Auxiliary!D27</f>
        <v>0</v>
      </c>
      <c r="F27" s="82">
        <f>[1]Restricted!D27</f>
        <v>0</v>
      </c>
      <c r="G27" s="83">
        <f t="shared" si="1"/>
        <v>0</v>
      </c>
    </row>
    <row r="28" spans="1:9" x14ac:dyDescent="0.3">
      <c r="A28" s="68" t="s">
        <v>63</v>
      </c>
      <c r="B28" s="69">
        <f t="shared" ref="B28:G28" si="2">SUM(B15:B27)</f>
        <v>433011225</v>
      </c>
      <c r="C28" s="148">
        <f t="shared" si="2"/>
        <v>447327140</v>
      </c>
      <c r="D28" s="70">
        <f t="shared" si="2"/>
        <v>56460058</v>
      </c>
      <c r="E28" s="71">
        <f t="shared" si="2"/>
        <v>0</v>
      </c>
      <c r="F28" s="72">
        <f t="shared" si="2"/>
        <v>436644596.398</v>
      </c>
      <c r="G28" s="69">
        <f t="shared" si="2"/>
        <v>493104654.398</v>
      </c>
    </row>
    <row r="29" spans="1:9" x14ac:dyDescent="0.3">
      <c r="A29" s="73" t="s">
        <v>64</v>
      </c>
      <c r="B29" s="51">
        <f>'[1]E&amp;G'!B29+[1]Auxiliary!B29+[1]Restricted!B29</f>
        <v>191231006</v>
      </c>
      <c r="C29" s="147">
        <f>'[1]E&amp;G'!C29+[1]Auxiliary!C29+[1]Restricted!C29</f>
        <v>201331862</v>
      </c>
      <c r="D29" s="53">
        <f>'[1]E&amp;G'!F29</f>
        <v>0</v>
      </c>
      <c r="E29" s="57">
        <f>[1]Auxiliary!D29</f>
        <v>0</v>
      </c>
      <c r="F29" s="74">
        <f>[1]Restricted!D29</f>
        <v>203345180.62</v>
      </c>
      <c r="G29" s="52">
        <f>SUM(D29:F29)</f>
        <v>203345180.62</v>
      </c>
    </row>
    <row r="30" spans="1:9" x14ac:dyDescent="0.3">
      <c r="A30" s="50" t="s">
        <v>65</v>
      </c>
      <c r="B30" s="51">
        <f>'[1]E&amp;G'!B30+[1]Auxiliary!B30+[1]Restricted!B30</f>
        <v>30172689</v>
      </c>
      <c r="C30" s="147">
        <f>'[1]E&amp;G'!C30+[1]Auxiliary!C30+[1]Restricted!C30</f>
        <v>17386985</v>
      </c>
      <c r="D30" s="53">
        <f>'[1]E&amp;G'!F30</f>
        <v>0</v>
      </c>
      <c r="E30" s="57">
        <f>[1]Auxiliary!D30</f>
        <v>27890367</v>
      </c>
      <c r="F30" s="54">
        <f>[1]Restricted!D30</f>
        <v>0</v>
      </c>
      <c r="G30" s="52">
        <f>SUM(D30:F30)</f>
        <v>27890367</v>
      </c>
    </row>
    <row r="31" spans="1:9" x14ac:dyDescent="0.3">
      <c r="A31" s="50" t="s">
        <v>66</v>
      </c>
      <c r="B31" s="51">
        <f>'[1]E&amp;G'!B31+[1]Auxiliary!B31+[1]Restricted!B31</f>
        <v>221755483</v>
      </c>
      <c r="C31" s="147">
        <f>'[1]E&amp;G'!C31+[1]Auxiliary!C31+[1]Restricted!C31</f>
        <v>138168263</v>
      </c>
      <c r="D31" s="53">
        <f>'[1]E&amp;G'!F31</f>
        <v>0</v>
      </c>
      <c r="E31" s="57">
        <f>[1]Auxiliary!D31</f>
        <v>225722724</v>
      </c>
      <c r="F31" s="54">
        <f>[1]Restricted!D31</f>
        <v>0</v>
      </c>
      <c r="G31" s="52">
        <f>SUM(D31:F31)</f>
        <v>225722724</v>
      </c>
    </row>
    <row r="32" spans="1:9" x14ac:dyDescent="0.3">
      <c r="A32" s="50" t="s">
        <v>67</v>
      </c>
      <c r="B32" s="51">
        <f>'[1]E&amp;G'!B32+[1]Auxiliary!B32+[1]Restricted!B32</f>
        <v>0</v>
      </c>
      <c r="C32" s="147">
        <f>'[1]E&amp;G'!C32+[1]Auxiliary!C32+[1]Restricted!C32</f>
        <v>0</v>
      </c>
      <c r="D32" s="53"/>
      <c r="E32" s="57"/>
      <c r="F32" s="54"/>
      <c r="G32" s="52"/>
    </row>
    <row r="33" spans="1:7" x14ac:dyDescent="0.3">
      <c r="A33" s="50" t="s">
        <v>68</v>
      </c>
      <c r="B33" s="51">
        <f>'[1]E&amp;G'!B33+[1]Auxiliary!B33+[1]Restricted!B33</f>
        <v>0</v>
      </c>
      <c r="C33" s="147">
        <f>'[1]E&amp;G'!C33+[1]Auxiliary!C33+[1]Restricted!C33</f>
        <v>0</v>
      </c>
      <c r="D33" s="53"/>
      <c r="E33" s="57"/>
      <c r="F33" s="54"/>
      <c r="G33" s="52"/>
    </row>
    <row r="34" spans="1:7" x14ac:dyDescent="0.3">
      <c r="A34" s="64" t="s">
        <v>69</v>
      </c>
      <c r="B34" s="51">
        <f>'[1]E&amp;G'!B34+[1]Auxiliary!B34+[1]Restricted!B34</f>
        <v>101035178</v>
      </c>
      <c r="C34" s="147">
        <f>'[1]E&amp;G'!C34+[1]Auxiliary!C34+[1]Restricted!C34</f>
        <v>108754154.99606603</v>
      </c>
      <c r="D34" s="86">
        <f>'[1]E&amp;G'!F34</f>
        <v>72357919</v>
      </c>
      <c r="E34" s="57">
        <f>[1]Auxiliary!D34</f>
        <v>40690232.062155724</v>
      </c>
      <c r="F34" s="54">
        <f>[1]Restricted!D34</f>
        <v>0</v>
      </c>
      <c r="G34" s="52">
        <f>SUM(D34:F34)</f>
        <v>113048151.06215572</v>
      </c>
    </row>
    <row r="35" spans="1:7" x14ac:dyDescent="0.3">
      <c r="A35" s="64" t="s">
        <v>70</v>
      </c>
      <c r="B35" s="51">
        <f>'[1]E&amp;G'!B35+[1]Auxiliary!B35+[1]Restricted!B35</f>
        <v>0</v>
      </c>
      <c r="C35" s="147">
        <f>'[1]E&amp;G'!C35+[1]Auxiliary!C35+[1]Restricted!C35</f>
        <v>0</v>
      </c>
      <c r="D35" s="53"/>
      <c r="E35" s="57"/>
      <c r="F35" s="54"/>
      <c r="G35" s="52"/>
    </row>
    <row r="36" spans="1:7" ht="16.2" thickBot="1" x14ac:dyDescent="0.35">
      <c r="A36" s="87" t="s">
        <v>71</v>
      </c>
      <c r="B36" s="51">
        <f>'[1]E&amp;G'!B36+[1]Auxiliary!B36+[1]Restricted!B36</f>
        <v>24516645</v>
      </c>
      <c r="C36" s="147">
        <f>'[1]E&amp;G'!C36+[1]Auxiliary!C36+[1]Restricted!C36</f>
        <v>20182112</v>
      </c>
      <c r="D36" s="60">
        <f>'[1]E&amp;G'!F36</f>
        <v>6019487</v>
      </c>
      <c r="E36" s="57">
        <f>[1]Auxiliary!D36</f>
        <v>21378947</v>
      </c>
      <c r="F36" s="54">
        <f>[1]Restricted!D36</f>
        <v>0</v>
      </c>
      <c r="G36" s="52">
        <f>SUM(D36:F36)</f>
        <v>27398434</v>
      </c>
    </row>
    <row r="37" spans="1:7" ht="16.2" thickTop="1" x14ac:dyDescent="0.3">
      <c r="A37" s="88" t="s">
        <v>27</v>
      </c>
      <c r="B37" s="89">
        <f>SUM(B29:B36)+B14+B28</f>
        <v>1885170964</v>
      </c>
      <c r="C37" s="89">
        <f>SUM(C29:C36)+C14+C28</f>
        <v>1794716680.9960661</v>
      </c>
      <c r="D37" s="90">
        <f>D14+D28+SUM(D29:D36)</f>
        <v>963362932</v>
      </c>
      <c r="E37" s="91">
        <f>E14+E28+SUM(E29:E36)</f>
        <v>404777175.76215571</v>
      </c>
      <c r="F37" s="92">
        <f>F14+F28+SUM(F29:F36)</f>
        <v>639989777.01800001</v>
      </c>
      <c r="G37" s="93">
        <f>G14+G28+SUM(G29:G36)</f>
        <v>2008129884.7801557</v>
      </c>
    </row>
    <row r="38" spans="1:7" x14ac:dyDescent="0.3">
      <c r="A38" s="50"/>
      <c r="B38" s="51"/>
      <c r="C38" s="52"/>
      <c r="D38" s="53"/>
      <c r="E38" s="57"/>
      <c r="F38" s="54"/>
      <c r="G38" s="52"/>
    </row>
    <row r="39" spans="1:7" x14ac:dyDescent="0.3">
      <c r="A39" s="45" t="s">
        <v>72</v>
      </c>
      <c r="B39" s="94"/>
      <c r="C39" s="52"/>
      <c r="D39" s="53"/>
      <c r="E39" s="57"/>
      <c r="F39" s="54"/>
      <c r="G39" s="52"/>
    </row>
    <row r="40" spans="1:7" x14ac:dyDescent="0.3">
      <c r="A40" s="50" t="s">
        <v>73</v>
      </c>
      <c r="B40" s="51"/>
      <c r="C40" s="52"/>
      <c r="D40" s="53"/>
      <c r="E40" s="57"/>
      <c r="F40" s="54"/>
      <c r="G40" s="52"/>
    </row>
    <row r="41" spans="1:7" x14ac:dyDescent="0.3">
      <c r="A41" s="64" t="s">
        <v>74</v>
      </c>
      <c r="B41" s="51">
        <f>'[1]E&amp;G'!B41+[1]Auxiliary!B41+[1]Restricted!B41</f>
        <v>576586032</v>
      </c>
      <c r="C41" s="51">
        <f>'[1]E&amp;G'!C41+[1]Auxiliary!C41+[1]Restricted!C41</f>
        <v>563410920.21631992</v>
      </c>
      <c r="D41" s="53">
        <f>'[1]E&amp;G'!F41</f>
        <v>503331488</v>
      </c>
      <c r="E41" s="57">
        <f>[1]Auxiliary!D41</f>
        <v>41177365.32</v>
      </c>
      <c r="F41" s="54">
        <f>[1]Restricted!D41</f>
        <v>61312707.123599999</v>
      </c>
      <c r="G41" s="52">
        <f t="shared" ref="G41:G49" si="3">SUM(D41:F41)</f>
        <v>605821560.44360006</v>
      </c>
    </row>
    <row r="42" spans="1:7" x14ac:dyDescent="0.3">
      <c r="A42" s="64" t="s">
        <v>75</v>
      </c>
      <c r="B42" s="51">
        <f>'[1]E&amp;G'!B42+[1]Auxiliary!B42+[1]Restricted!B42</f>
        <v>388494188</v>
      </c>
      <c r="C42" s="51">
        <f>'[1]E&amp;G'!C42+[1]Auxiliary!C42+[1]Restricted!C42</f>
        <v>408003652.52591234</v>
      </c>
      <c r="D42" s="53">
        <f>'[1]E&amp;G'!F42</f>
        <v>10778229</v>
      </c>
      <c r="E42" s="57">
        <f>[1]Auxiliary!D42</f>
        <v>391968.3</v>
      </c>
      <c r="F42" s="54">
        <f>[1]Restricted!D42</f>
        <v>415829564.40860003</v>
      </c>
      <c r="G42" s="52">
        <f t="shared" si="3"/>
        <v>426999761.70860004</v>
      </c>
    </row>
    <row r="43" spans="1:7" x14ac:dyDescent="0.3">
      <c r="A43" s="64" t="s">
        <v>76</v>
      </c>
      <c r="B43" s="51">
        <f>'[1]E&amp;G'!B43+[1]Auxiliary!B43+[1]Restricted!B43</f>
        <v>14588322</v>
      </c>
      <c r="C43" s="51">
        <f>'[1]E&amp;G'!C43+[1]Auxiliary!C43+[1]Restricted!C43</f>
        <v>15822866.256517593</v>
      </c>
      <c r="D43" s="53">
        <f>'[1]E&amp;G'!F43</f>
        <v>382046</v>
      </c>
      <c r="E43" s="57">
        <f>[1]Auxiliary!D43</f>
        <v>5635653.1999999993</v>
      </c>
      <c r="F43" s="54">
        <f>[1]Restricted!D43</f>
        <v>11661609</v>
      </c>
      <c r="G43" s="52">
        <f t="shared" si="3"/>
        <v>17679308.199999999</v>
      </c>
    </row>
    <row r="44" spans="1:7" x14ac:dyDescent="0.3">
      <c r="A44" s="64" t="s">
        <v>77</v>
      </c>
      <c r="B44" s="51">
        <f>'[1]E&amp;G'!B44+[1]Auxiliary!B44+[1]Restricted!B44</f>
        <v>127210251</v>
      </c>
      <c r="C44" s="51">
        <f>'[1]E&amp;G'!C44+[1]Auxiliary!C44+[1]Restricted!C44</f>
        <v>130439193.03247949</v>
      </c>
      <c r="D44" s="53">
        <f>'[1]E&amp;G'!F44</f>
        <v>135231365</v>
      </c>
      <c r="E44" s="57">
        <f>[1]Auxiliary!D44</f>
        <v>16410808.199999999</v>
      </c>
      <c r="F44" s="54">
        <f>[1]Restricted!D44</f>
        <v>4509034.4400000004</v>
      </c>
      <c r="G44" s="52">
        <f t="shared" si="3"/>
        <v>156151207.63999999</v>
      </c>
    </row>
    <row r="45" spans="1:7" x14ac:dyDescent="0.3">
      <c r="A45" s="64" t="s">
        <v>78</v>
      </c>
      <c r="B45" s="51">
        <f>'[1]E&amp;G'!B45+[1]Auxiliary!B45+[1]Restricted!B45</f>
        <v>91278615</v>
      </c>
      <c r="C45" s="51">
        <f>'[1]E&amp;G'!C45+[1]Auxiliary!C45+[1]Restricted!C45</f>
        <v>100675331.93247488</v>
      </c>
      <c r="D45" s="53">
        <f>'[1]E&amp;G'!F45</f>
        <v>51269900</v>
      </c>
      <c r="E45" s="57">
        <f>[1]Auxiliary!D45</f>
        <v>52284085.299999997</v>
      </c>
      <c r="F45" s="54">
        <f>[1]Restricted!D45</f>
        <v>3559795.92</v>
      </c>
      <c r="G45" s="52">
        <f t="shared" si="3"/>
        <v>107113781.22</v>
      </c>
    </row>
    <row r="46" spans="1:7" x14ac:dyDescent="0.3">
      <c r="A46" s="64" t="s">
        <v>79</v>
      </c>
      <c r="B46" s="51">
        <f>'[1]E&amp;G'!B46+[1]Auxiliary!B46+[1]Restricted!B46</f>
        <v>96158131</v>
      </c>
      <c r="C46" s="51">
        <f>'[1]E&amp;G'!C46+[1]Auxiliary!C46+[1]Restricted!C46</f>
        <v>92769095.124351725</v>
      </c>
      <c r="D46" s="53">
        <f>'[1]E&amp;G'!F46</f>
        <v>87347798</v>
      </c>
      <c r="E46" s="57">
        <f>[1]Auxiliary!D46</f>
        <v>8882895.5499999989</v>
      </c>
      <c r="F46" s="54">
        <f>[1]Restricted!D46</f>
        <v>0</v>
      </c>
      <c r="G46" s="52">
        <f t="shared" si="3"/>
        <v>96230693.549999997</v>
      </c>
    </row>
    <row r="47" spans="1:7" x14ac:dyDescent="0.3">
      <c r="A47" s="64" t="s">
        <v>80</v>
      </c>
      <c r="B47" s="51">
        <f>'[1]E&amp;G'!B47+[1]Auxiliary!B47+[1]Restricted!B47</f>
        <v>89142549</v>
      </c>
      <c r="C47" s="51">
        <f>'[1]E&amp;G'!C47+[1]Auxiliary!C47+[1]Restricted!C47</f>
        <v>101447042.71194401</v>
      </c>
      <c r="D47" s="53">
        <f>'[1]E&amp;G'!F47</f>
        <v>95827218</v>
      </c>
      <c r="E47" s="57">
        <f>[1]Auxiliary!D47</f>
        <v>0</v>
      </c>
      <c r="F47" s="54">
        <f>[1]Restricted!D47</f>
        <v>14540186.700000001</v>
      </c>
      <c r="G47" s="52">
        <f t="shared" si="3"/>
        <v>110367404.7</v>
      </c>
    </row>
    <row r="48" spans="1:7" x14ac:dyDescent="0.3">
      <c r="A48" s="64" t="s">
        <v>81</v>
      </c>
      <c r="B48" s="51">
        <f>'[1]E&amp;G'!B48+[1]Auxiliary!B48+[1]Restricted!B48</f>
        <v>140567420</v>
      </c>
      <c r="C48" s="51">
        <f>'[1]E&amp;G'!C48+[1]Auxiliary!C48+[1]Restricted!C48</f>
        <v>140923181</v>
      </c>
      <c r="D48" s="53">
        <f>'[1]E&amp;G'!F48</f>
        <v>79194890</v>
      </c>
      <c r="E48" s="57">
        <f>[1]Auxiliary!D48</f>
        <v>10652631.15</v>
      </c>
      <c r="F48" s="54">
        <f>[1]Restricted!D48</f>
        <v>56160386.039999999</v>
      </c>
      <c r="G48" s="52">
        <f t="shared" si="3"/>
        <v>146007907.19</v>
      </c>
    </row>
    <row r="49" spans="1:7" x14ac:dyDescent="0.3">
      <c r="A49" s="50" t="s">
        <v>82</v>
      </c>
      <c r="B49" s="51">
        <f>'[1]E&amp;G'!B49+[1]Auxiliary!B49+[1]Restricted!B49</f>
        <v>172100792</v>
      </c>
      <c r="C49" s="51">
        <f>'[1]E&amp;G'!C49+[1]Auxiliary!C49+[1]Restricted!C49</f>
        <v>135611887.19999999</v>
      </c>
      <c r="D49" s="53">
        <f>'[1]E&amp;G'!F49</f>
        <v>0</v>
      </c>
      <c r="E49" s="57">
        <f>[1]Auxiliary!D49</f>
        <v>191156381.18205035</v>
      </c>
      <c r="F49" s="54">
        <f>[1]Restricted!D49</f>
        <v>3425827.2840000005</v>
      </c>
      <c r="G49" s="52">
        <f t="shared" si="3"/>
        <v>194582208.46605036</v>
      </c>
    </row>
    <row r="50" spans="1:7" x14ac:dyDescent="0.3">
      <c r="A50" s="50" t="s">
        <v>67</v>
      </c>
      <c r="B50" s="51"/>
      <c r="C50" s="51"/>
      <c r="D50" s="53"/>
      <c r="E50" s="57"/>
      <c r="F50" s="54"/>
      <c r="G50" s="52"/>
    </row>
    <row r="51" spans="1:7" x14ac:dyDescent="0.3">
      <c r="A51" s="95" t="s">
        <v>56</v>
      </c>
      <c r="B51" s="96">
        <f>9366204-4894507</f>
        <v>4471697</v>
      </c>
      <c r="C51" s="96">
        <f>9366204-4894507</f>
        <v>4471697</v>
      </c>
      <c r="D51" s="97">
        <f>'[1]E&amp;G'!F51</f>
        <v>0</v>
      </c>
      <c r="E51" s="98">
        <f>[1]Auxiliary!D51</f>
        <v>0</v>
      </c>
      <c r="F51" s="99">
        <v>0</v>
      </c>
      <c r="G51" s="100">
        <f t="shared" ref="G51:G57" si="4">SUM(D51:F51)</f>
        <v>0</v>
      </c>
    </row>
    <row r="52" spans="1:7" x14ac:dyDescent="0.3">
      <c r="A52" s="95" t="s">
        <v>57</v>
      </c>
      <c r="B52" s="96">
        <v>9366204</v>
      </c>
      <c r="C52" s="96">
        <v>9366204</v>
      </c>
      <c r="D52" s="97">
        <f>'[1]E&amp;G'!F52</f>
        <v>0</v>
      </c>
      <c r="E52" s="98">
        <f>[1]Auxiliary!D52</f>
        <v>0</v>
      </c>
      <c r="F52" s="99">
        <v>0</v>
      </c>
      <c r="G52" s="100">
        <f t="shared" si="4"/>
        <v>0</v>
      </c>
    </row>
    <row r="53" spans="1:7" x14ac:dyDescent="0.3">
      <c r="A53" s="95" t="s">
        <v>58</v>
      </c>
      <c r="B53" s="96">
        <v>9366204</v>
      </c>
      <c r="C53" s="96">
        <v>9366204</v>
      </c>
      <c r="D53" s="97">
        <f>'[1]E&amp;G'!F53</f>
        <v>0</v>
      </c>
      <c r="E53" s="98">
        <f>[1]Auxiliary!D53</f>
        <v>0</v>
      </c>
      <c r="F53" s="99">
        <f>[1]Restricted!D53</f>
        <v>0</v>
      </c>
      <c r="G53" s="100">
        <f t="shared" si="4"/>
        <v>0</v>
      </c>
    </row>
    <row r="54" spans="1:7" x14ac:dyDescent="0.3">
      <c r="A54" s="95" t="s">
        <v>59</v>
      </c>
      <c r="B54" s="96">
        <v>19294095</v>
      </c>
      <c r="C54" s="96">
        <v>1308965</v>
      </c>
      <c r="D54" s="97">
        <f>'[1]E&amp;G'!F54</f>
        <v>0</v>
      </c>
      <c r="E54" s="98">
        <f>[1]Auxiliary!D54</f>
        <v>0</v>
      </c>
      <c r="F54" s="99">
        <v>17985130</v>
      </c>
      <c r="G54" s="100">
        <f t="shared" si="4"/>
        <v>17985130</v>
      </c>
    </row>
    <row r="55" spans="1:7" x14ac:dyDescent="0.3">
      <c r="A55" s="95" t="s">
        <v>60</v>
      </c>
      <c r="B55" s="96">
        <f>'[1]E&amp;G'!B55+[1]Auxiliary!B55+[1]Restricted!B55</f>
        <v>0</v>
      </c>
      <c r="C55" s="96">
        <f>'[1]E&amp;G'!C55+[1]Auxiliary!C55+[1]Restricted!C55</f>
        <v>0</v>
      </c>
      <c r="D55" s="97">
        <f>'[1]E&amp;G'!F55</f>
        <v>0</v>
      </c>
      <c r="E55" s="98">
        <f>[1]Auxiliary!D55</f>
        <v>0</v>
      </c>
      <c r="F55" s="99">
        <v>25557767</v>
      </c>
      <c r="G55" s="100">
        <f t="shared" si="4"/>
        <v>25557767</v>
      </c>
    </row>
    <row r="56" spans="1:7" x14ac:dyDescent="0.3">
      <c r="A56" s="95" t="s">
        <v>61</v>
      </c>
      <c r="B56" s="96">
        <f>'[1]E&amp;G'!B56+[1]Auxiliary!B56+[1]Restricted!B56</f>
        <v>0</v>
      </c>
      <c r="C56" s="96">
        <f>'[1]E&amp;G'!C56+[1]Auxiliary!C56+[1]Restricted!C56</f>
        <v>0</v>
      </c>
      <c r="D56" s="97">
        <f>'[1]E&amp;G'!F56</f>
        <v>0</v>
      </c>
      <c r="E56" s="98">
        <f>[1]Auxiliary!D56</f>
        <v>0</v>
      </c>
      <c r="F56" s="99">
        <v>25447769</v>
      </c>
      <c r="G56" s="100">
        <f t="shared" si="4"/>
        <v>25447769</v>
      </c>
    </row>
    <row r="57" spans="1:7" ht="16.2" thickBot="1" x14ac:dyDescent="0.35">
      <c r="A57" s="95" t="s">
        <v>62</v>
      </c>
      <c r="B57" s="96">
        <f>48272824</f>
        <v>48272824</v>
      </c>
      <c r="C57" s="96">
        <f>48272824</f>
        <v>48272824</v>
      </c>
      <c r="D57" s="97">
        <f>'[1]E&amp;G'!F57</f>
        <v>0</v>
      </c>
      <c r="E57" s="98">
        <f>[1]Auxiliary!D57</f>
        <v>0</v>
      </c>
      <c r="F57" s="99">
        <f>[1]Restricted!D57</f>
        <v>0</v>
      </c>
      <c r="G57" s="100">
        <f t="shared" si="4"/>
        <v>0</v>
      </c>
    </row>
    <row r="58" spans="1:7" ht="16.2" thickTop="1" x14ac:dyDescent="0.3">
      <c r="A58" s="88" t="s">
        <v>83</v>
      </c>
      <c r="B58" s="89">
        <f t="shared" ref="B58:G58" si="5">SUM(B41:B57)</f>
        <v>1786897324</v>
      </c>
      <c r="C58" s="89">
        <f t="shared" si="5"/>
        <v>1761889064.0000002</v>
      </c>
      <c r="D58" s="90">
        <f t="shared" si="5"/>
        <v>963362934</v>
      </c>
      <c r="E58" s="101">
        <f t="shared" si="5"/>
        <v>326591788.20205033</v>
      </c>
      <c r="F58" s="92">
        <f t="shared" si="5"/>
        <v>639989776.91620004</v>
      </c>
      <c r="G58" s="89">
        <f t="shared" si="5"/>
        <v>1929944499.1182506</v>
      </c>
    </row>
    <row r="59" spans="1:7" x14ac:dyDescent="0.3">
      <c r="A59" s="50"/>
      <c r="B59" s="51"/>
      <c r="C59" s="52"/>
      <c r="D59" s="53"/>
      <c r="E59" s="57"/>
      <c r="F59" s="54"/>
      <c r="G59" s="52"/>
    </row>
    <row r="60" spans="1:7" x14ac:dyDescent="0.3">
      <c r="A60" s="45" t="s">
        <v>84</v>
      </c>
      <c r="B60" s="94"/>
      <c r="C60" s="52"/>
      <c r="D60" s="53"/>
      <c r="E60" s="57"/>
      <c r="F60" s="54"/>
      <c r="G60" s="52"/>
    </row>
    <row r="61" spans="1:7" x14ac:dyDescent="0.3">
      <c r="A61" s="50" t="s">
        <v>85</v>
      </c>
      <c r="B61" s="51">
        <f>'[1]E&amp;G'!B61+[1]Auxiliary!B61+[1]Restricted!B61</f>
        <v>0</v>
      </c>
      <c r="C61" s="51">
        <f>'[1]E&amp;G'!C61+[1]Auxiliary!C61+[1]Restricted!C61</f>
        <v>0</v>
      </c>
      <c r="D61" s="53"/>
      <c r="E61" s="57"/>
      <c r="F61" s="54"/>
      <c r="G61" s="52"/>
    </row>
    <row r="62" spans="1:7" x14ac:dyDescent="0.3">
      <c r="A62" s="64" t="s">
        <v>86</v>
      </c>
      <c r="B62" s="51">
        <f>'[1]E&amp;G'!B62+[1]Auxiliary!B62+[1]Restricted!B62</f>
        <v>72095662</v>
      </c>
      <c r="C62" s="51">
        <f>'[1]E&amp;G'!C62+[1]Auxiliary!C62+[1]Restricted!C62</f>
        <v>26512209</v>
      </c>
      <c r="D62" s="53">
        <f>'[1]E&amp;G'!F62</f>
        <v>0</v>
      </c>
      <c r="E62" s="57">
        <f>[1]Auxiliary!D62</f>
        <v>45992613</v>
      </c>
      <c r="F62" s="54">
        <f>[1]Restricted!D62</f>
        <v>0</v>
      </c>
      <c r="G62" s="52">
        <f>SUM(D62:F62)</f>
        <v>45992613</v>
      </c>
    </row>
    <row r="63" spans="1:7" x14ac:dyDescent="0.3">
      <c r="A63" s="64" t="s">
        <v>87</v>
      </c>
      <c r="B63" s="51">
        <f>'[1]E&amp;G'!B63+[1]Auxiliary!B63+[1]Restricted!B63</f>
        <v>0</v>
      </c>
      <c r="C63" s="51">
        <f>'[1]E&amp;G'!C63+[1]Auxiliary!C63+[1]Restricted!C63</f>
        <v>0</v>
      </c>
      <c r="D63" s="53">
        <f>'[1]E&amp;G'!F63</f>
        <v>0</v>
      </c>
      <c r="E63" s="57">
        <f>[1]Auxiliary!D63</f>
        <v>0</v>
      </c>
      <c r="F63" s="54">
        <f>[1]Restricted!D63</f>
        <v>0</v>
      </c>
      <c r="G63" s="52">
        <f>SUM(D63:F63)</f>
        <v>0</v>
      </c>
    </row>
    <row r="64" spans="1:7" x14ac:dyDescent="0.3">
      <c r="A64" s="102" t="s">
        <v>88</v>
      </c>
      <c r="B64" s="51">
        <f>'[1]E&amp;G'!B64+[1]Auxiliary!B64+[1]Restricted!B64</f>
        <v>0</v>
      </c>
      <c r="C64" s="51">
        <f>'[1]E&amp;G'!C64+[1]Auxiliary!C64+[1]Restricted!C64</f>
        <v>0</v>
      </c>
      <c r="D64" s="53">
        <f>'[1]E&amp;G'!F64</f>
        <v>0</v>
      </c>
      <c r="E64" s="57">
        <f>[1]Auxiliary!D64</f>
        <v>0</v>
      </c>
      <c r="F64" s="54">
        <f>[1]Restricted!D64</f>
        <v>0</v>
      </c>
      <c r="G64" s="52">
        <f>SUM(D64:F64)</f>
        <v>0</v>
      </c>
    </row>
    <row r="65" spans="1:7" x14ac:dyDescent="0.3">
      <c r="A65" s="103" t="s">
        <v>89</v>
      </c>
      <c r="B65" s="69">
        <f t="shared" ref="B65:G65" si="6">SUM(B62:B64)</f>
        <v>72095662</v>
      </c>
      <c r="C65" s="69">
        <f t="shared" si="6"/>
        <v>26512209</v>
      </c>
      <c r="D65" s="70">
        <f t="shared" si="6"/>
        <v>0</v>
      </c>
      <c r="E65" s="71">
        <f t="shared" si="6"/>
        <v>45992613</v>
      </c>
      <c r="F65" s="72">
        <f t="shared" si="6"/>
        <v>0</v>
      </c>
      <c r="G65" s="69">
        <f t="shared" si="6"/>
        <v>45992613</v>
      </c>
    </row>
    <row r="66" spans="1:7" x14ac:dyDescent="0.3">
      <c r="A66" s="50"/>
      <c r="B66" s="51"/>
      <c r="C66" s="52"/>
      <c r="D66" s="53"/>
      <c r="E66" s="57"/>
      <c r="F66" s="54"/>
      <c r="G66" s="52"/>
    </row>
    <row r="67" spans="1:7" x14ac:dyDescent="0.3">
      <c r="A67" s="50" t="s">
        <v>90</v>
      </c>
      <c r="B67" s="51"/>
      <c r="C67" s="52"/>
      <c r="D67" s="53"/>
      <c r="E67" s="57"/>
      <c r="F67" s="54"/>
      <c r="G67" s="52"/>
    </row>
    <row r="68" spans="1:7" x14ac:dyDescent="0.3">
      <c r="A68" s="64" t="s">
        <v>91</v>
      </c>
      <c r="B68" s="51">
        <f>'[1]E&amp;G'!B68+[1]Auxiliary!B68+[1]Restricted!B68</f>
        <v>0</v>
      </c>
      <c r="C68" s="51">
        <f>'[1]E&amp;G'!C68+[1]Auxiliary!C68+[1]Restricted!C68</f>
        <v>0</v>
      </c>
      <c r="D68" s="53">
        <f>'[1]E&amp;G'!F68</f>
        <v>0</v>
      </c>
      <c r="E68" s="57">
        <f>[1]Auxiliary!D68</f>
        <v>0</v>
      </c>
      <c r="F68" s="54">
        <f>[1]Restricted!D68</f>
        <v>0</v>
      </c>
      <c r="G68" s="52">
        <f>SUM(D68:F68)</f>
        <v>0</v>
      </c>
    </row>
    <row r="69" spans="1:7" x14ac:dyDescent="0.3">
      <c r="A69" s="102" t="s">
        <v>92</v>
      </c>
      <c r="B69" s="51">
        <f>'[1]E&amp;G'!B69+[1]Auxiliary!B69+[1]Restricted!B69</f>
        <v>26177979</v>
      </c>
      <c r="C69" s="51">
        <f>'[1]E&amp;G'!C69+[1]Auxiliary!C69+[1]Restricted!C69</f>
        <v>6315408.9960660338</v>
      </c>
      <c r="D69" s="53">
        <f>'[1]E&amp;G'!F69</f>
        <v>0</v>
      </c>
      <c r="E69" s="57">
        <f>[1]Auxiliary!D69</f>
        <v>32192775</v>
      </c>
      <c r="F69" s="54">
        <f>[1]Restricted!D69</f>
        <v>0</v>
      </c>
      <c r="G69" s="52">
        <f>SUM(D69:F69)</f>
        <v>32192775</v>
      </c>
    </row>
    <row r="70" spans="1:7" ht="16.2" thickBot="1" x14ac:dyDescent="0.35">
      <c r="A70" s="104" t="s">
        <v>93</v>
      </c>
      <c r="B70" s="105">
        <f t="shared" ref="B70:G70" si="7">SUM(B68:B69)</f>
        <v>26177979</v>
      </c>
      <c r="C70" s="105">
        <f t="shared" si="7"/>
        <v>6315408.9960660338</v>
      </c>
      <c r="D70" s="106">
        <f t="shared" si="7"/>
        <v>0</v>
      </c>
      <c r="E70" s="107">
        <f t="shared" si="7"/>
        <v>32192775</v>
      </c>
      <c r="F70" s="108">
        <f t="shared" si="7"/>
        <v>0</v>
      </c>
      <c r="G70" s="105">
        <f t="shared" si="7"/>
        <v>32192775</v>
      </c>
    </row>
    <row r="71" spans="1:7" ht="16.2" thickTop="1" x14ac:dyDescent="0.3">
      <c r="A71" s="109" t="s">
        <v>94</v>
      </c>
      <c r="B71" s="110">
        <f t="shared" ref="B71:G71" si="8">B58+B65+B70</f>
        <v>1885170965</v>
      </c>
      <c r="C71" s="110">
        <f t="shared" si="8"/>
        <v>1794716681.9960663</v>
      </c>
      <c r="D71" s="111">
        <f t="shared" si="8"/>
        <v>963362934</v>
      </c>
      <c r="E71" s="112">
        <f t="shared" si="8"/>
        <v>404777176.20205033</v>
      </c>
      <c r="F71" s="113">
        <f t="shared" si="8"/>
        <v>639989776.91620004</v>
      </c>
      <c r="G71" s="110">
        <f t="shared" si="8"/>
        <v>2008129887.1182506</v>
      </c>
    </row>
    <row r="72" spans="1:7" x14ac:dyDescent="0.3">
      <c r="A72" s="114" t="s">
        <v>95</v>
      </c>
      <c r="B72" s="94"/>
      <c r="C72" s="94"/>
      <c r="D72" s="115"/>
      <c r="E72" s="116"/>
      <c r="F72" s="117"/>
      <c r="G72" s="94"/>
    </row>
    <row r="73" spans="1:7" x14ac:dyDescent="0.3">
      <c r="A73" s="95" t="s">
        <v>56</v>
      </c>
      <c r="B73" s="51">
        <v>0</v>
      </c>
      <c r="C73" s="51">
        <f>'[1]E&amp;G'!C73+[1]Auxiliary!C73+[1]Restricted!C73</f>
        <v>0</v>
      </c>
      <c r="D73" s="118">
        <f>'[1]E&amp;G'!F73</f>
        <v>0</v>
      </c>
      <c r="E73" s="57">
        <f>[1]Auxiliary!D73</f>
        <v>0</v>
      </c>
      <c r="F73" s="119">
        <f>[1]Restricted!D73</f>
        <v>0</v>
      </c>
      <c r="G73" s="120">
        <f t="shared" ref="G73:G79" si="9">G21-G51</f>
        <v>0</v>
      </c>
    </row>
    <row r="74" spans="1:7" x14ac:dyDescent="0.3">
      <c r="A74" s="95" t="s">
        <v>57</v>
      </c>
      <c r="B74" s="51">
        <v>0</v>
      </c>
      <c r="C74" s="51">
        <f>'[1]E&amp;G'!C74+[1]Auxiliary!C74+[1]Restricted!C74</f>
        <v>0</v>
      </c>
      <c r="D74" s="118">
        <f>'[1]E&amp;G'!F74</f>
        <v>0</v>
      </c>
      <c r="E74" s="57">
        <f>[1]Auxiliary!D74</f>
        <v>0</v>
      </c>
      <c r="F74" s="119">
        <f>[1]Restricted!D74</f>
        <v>0</v>
      </c>
      <c r="G74" s="120">
        <f t="shared" si="9"/>
        <v>0</v>
      </c>
    </row>
    <row r="75" spans="1:7" x14ac:dyDescent="0.3">
      <c r="A75" s="95" t="s">
        <v>58</v>
      </c>
      <c r="B75" s="51">
        <v>0</v>
      </c>
      <c r="C75" s="51">
        <f>'[1]E&amp;G'!C75+[1]Auxiliary!C75+[1]Restricted!C75</f>
        <v>0</v>
      </c>
      <c r="D75" s="118">
        <f>'[1]E&amp;G'!F75</f>
        <v>0</v>
      </c>
      <c r="E75" s="57">
        <f>[1]Auxiliary!D75</f>
        <v>0</v>
      </c>
      <c r="F75" s="119">
        <f>[1]Restricted!D75</f>
        <v>0</v>
      </c>
      <c r="G75" s="120">
        <f t="shared" si="9"/>
        <v>0</v>
      </c>
    </row>
    <row r="76" spans="1:7" x14ac:dyDescent="0.3">
      <c r="A76" s="95" t="s">
        <v>59</v>
      </c>
      <c r="B76" s="51">
        <v>0</v>
      </c>
      <c r="C76" s="51">
        <f>'[1]E&amp;G'!C76+[1]Auxiliary!C76+[1]Restricted!C76</f>
        <v>0</v>
      </c>
      <c r="D76" s="118">
        <f>'[1]E&amp;G'!F76</f>
        <v>0</v>
      </c>
      <c r="E76" s="57">
        <f>[1]Auxiliary!D76</f>
        <v>0</v>
      </c>
      <c r="F76" s="119">
        <f>[1]Restricted!D76</f>
        <v>0</v>
      </c>
      <c r="G76" s="120">
        <f t="shared" si="9"/>
        <v>0</v>
      </c>
    </row>
    <row r="77" spans="1:7" x14ac:dyDescent="0.3">
      <c r="A77" s="95" t="s">
        <v>60</v>
      </c>
      <c r="B77" s="51">
        <v>0</v>
      </c>
      <c r="C77" s="51">
        <f>'[1]E&amp;G'!C77+[1]Auxiliary!C77+[1]Restricted!C77</f>
        <v>0</v>
      </c>
      <c r="D77" s="118">
        <f>'[1]E&amp;G'!F77</f>
        <v>0</v>
      </c>
      <c r="E77" s="57">
        <f>[1]Auxiliary!D77</f>
        <v>0</v>
      </c>
      <c r="F77" s="119">
        <f>[1]Restricted!D77</f>
        <v>0</v>
      </c>
      <c r="G77" s="120">
        <f t="shared" si="9"/>
        <v>0</v>
      </c>
    </row>
    <row r="78" spans="1:7" x14ac:dyDescent="0.3">
      <c r="A78" s="95" t="s">
        <v>61</v>
      </c>
      <c r="B78" s="51">
        <v>0</v>
      </c>
      <c r="C78" s="51">
        <f>'[1]E&amp;G'!C78+[1]Auxiliary!C78+[1]Restricted!C78</f>
        <v>0</v>
      </c>
      <c r="D78" s="118">
        <f>'[1]E&amp;G'!F78</f>
        <v>0</v>
      </c>
      <c r="E78" s="57">
        <f>[1]Auxiliary!D78</f>
        <v>0</v>
      </c>
      <c r="F78" s="119">
        <f>[1]Restricted!D78</f>
        <v>0</v>
      </c>
      <c r="G78" s="120">
        <f t="shared" si="9"/>
        <v>0</v>
      </c>
    </row>
    <row r="79" spans="1:7" x14ac:dyDescent="0.3">
      <c r="A79" s="121" t="s">
        <v>96</v>
      </c>
      <c r="B79" s="122">
        <v>0</v>
      </c>
      <c r="C79" s="122">
        <f>'[1]E&amp;G'!C79+[1]Auxiliary!C79+[1]Restricted!C79</f>
        <v>0</v>
      </c>
      <c r="D79" s="123">
        <f>'[1]E&amp;G'!F79</f>
        <v>0</v>
      </c>
      <c r="E79" s="124">
        <f>[1]Auxiliary!D79</f>
        <v>0</v>
      </c>
      <c r="F79" s="125">
        <f>[1]Restricted!D79</f>
        <v>0</v>
      </c>
      <c r="G79" s="126">
        <f t="shared" si="9"/>
        <v>0</v>
      </c>
    </row>
    <row r="80" spans="1:7" ht="16.2" thickBot="1" x14ac:dyDescent="0.35">
      <c r="A80" s="127" t="s">
        <v>97</v>
      </c>
      <c r="B80" s="128">
        <f t="shared" ref="B80:G80" si="10">B37-B71</f>
        <v>-1</v>
      </c>
      <c r="C80" s="128">
        <f t="shared" si="10"/>
        <v>-1.0000002384185791</v>
      </c>
      <c r="D80" s="128">
        <f t="shared" si="10"/>
        <v>-2</v>
      </c>
      <c r="E80" s="129">
        <f t="shared" si="10"/>
        <v>-0.43989461660385132</v>
      </c>
      <c r="F80" s="130">
        <f t="shared" si="10"/>
        <v>0.10179996490478516</v>
      </c>
      <c r="G80" s="131">
        <f t="shared" si="10"/>
        <v>-2.33809494972229</v>
      </c>
    </row>
    <row r="81" spans="1:7" x14ac:dyDescent="0.3">
      <c r="C81" s="133"/>
      <c r="D81" s="133"/>
      <c r="E81" s="133"/>
      <c r="F81" s="133"/>
    </row>
    <row r="82" spans="1:7" ht="14.4" x14ac:dyDescent="0.3">
      <c r="A82" s="134" t="s">
        <v>98</v>
      </c>
      <c r="B82" s="135"/>
      <c r="C82" s="135"/>
      <c r="D82" s="135"/>
      <c r="E82" s="135"/>
      <c r="F82" s="135"/>
      <c r="G82" s="135"/>
    </row>
    <row r="83" spans="1:7" ht="14.4" x14ac:dyDescent="0.3">
      <c r="A83" s="136"/>
      <c r="B83" s="136"/>
      <c r="C83" s="136"/>
      <c r="D83" s="136"/>
      <c r="E83" s="136"/>
      <c r="F83" s="136"/>
      <c r="G83" s="136"/>
    </row>
    <row r="84" spans="1:7" x14ac:dyDescent="0.3">
      <c r="A84" s="137" t="s">
        <v>99</v>
      </c>
      <c r="B84" s="138"/>
      <c r="C84" s="139"/>
      <c r="D84" s="140"/>
      <c r="E84" s="141"/>
      <c r="F84" s="132"/>
      <c r="G84" s="132"/>
    </row>
    <row r="85" spans="1:7" x14ac:dyDescent="0.3">
      <c r="A85" s="137" t="s">
        <v>46</v>
      </c>
      <c r="B85" s="142">
        <f t="shared" ref="B85:G85" si="11">B14+B15+B16+B17+B18+B19+B20+B29+B30+B31+B32+B33+B34+B35+B36</f>
        <v>1794399940</v>
      </c>
      <c r="C85" s="142">
        <f t="shared" si="11"/>
        <v>1721930786.9960661</v>
      </c>
      <c r="D85" s="142">
        <f t="shared" si="11"/>
        <v>963362932</v>
      </c>
      <c r="E85" s="142">
        <f t="shared" si="11"/>
        <v>404777175.76215571</v>
      </c>
      <c r="F85" s="142">
        <f t="shared" si="11"/>
        <v>570999111.01800001</v>
      </c>
      <c r="G85" s="142">
        <f t="shared" si="11"/>
        <v>1939139218.7801557</v>
      </c>
    </row>
    <row r="86" spans="1:7" x14ac:dyDescent="0.3">
      <c r="A86" s="137" t="s">
        <v>100</v>
      </c>
      <c r="B86" s="142">
        <f t="shared" ref="B86:G86" si="12">B41+B42+B43+B44+B45+B46+B47+B48+B49+B62+B69</f>
        <v>1794399941</v>
      </c>
      <c r="C86" s="142">
        <f t="shared" si="12"/>
        <v>1721930787.9960663</v>
      </c>
      <c r="D86" s="142">
        <f t="shared" si="12"/>
        <v>963362934</v>
      </c>
      <c r="E86" s="142">
        <f t="shared" si="12"/>
        <v>404777176.20205033</v>
      </c>
      <c r="F86" s="142">
        <f t="shared" si="12"/>
        <v>570999110.91620004</v>
      </c>
      <c r="G86" s="142">
        <f t="shared" si="12"/>
        <v>1939139221.1182506</v>
      </c>
    </row>
    <row r="87" spans="1:7" x14ac:dyDescent="0.3">
      <c r="A87" s="137" t="s">
        <v>101</v>
      </c>
      <c r="B87" s="142">
        <f t="shared" ref="B87:G87" si="13">B85-B86</f>
        <v>-1</v>
      </c>
      <c r="C87" s="142">
        <f t="shared" si="13"/>
        <v>-1.0000002384185791</v>
      </c>
      <c r="D87" s="142">
        <f t="shared" si="13"/>
        <v>-2</v>
      </c>
      <c r="E87" s="142">
        <f t="shared" si="13"/>
        <v>-0.43989461660385132</v>
      </c>
      <c r="F87" s="142">
        <f t="shared" si="13"/>
        <v>0.10179996490478516</v>
      </c>
      <c r="G87" s="142">
        <f t="shared" si="13"/>
        <v>-2.33809494972229</v>
      </c>
    </row>
    <row r="88" spans="1:7" x14ac:dyDescent="0.3">
      <c r="E88" s="141"/>
    </row>
    <row r="89" spans="1:7" x14ac:dyDescent="0.3">
      <c r="A89" s="137" t="s">
        <v>102</v>
      </c>
    </row>
    <row r="90" spans="1:7" x14ac:dyDescent="0.3">
      <c r="A90" s="137" t="s">
        <v>46</v>
      </c>
      <c r="B90" s="142">
        <f>'[1]E&amp;G'!B37+[1]Auxiliary!B71+[1]Restricted!B37</f>
        <v>1794399940</v>
      </c>
      <c r="C90" s="142">
        <f>'[1]E&amp;G'!C37+[1]Auxiliary!C37+[1]Restricted!C37</f>
        <v>1721930786.9960661</v>
      </c>
      <c r="D90" s="142">
        <f>'[1]E&amp;G'!F37</f>
        <v>963362932</v>
      </c>
      <c r="E90" s="142">
        <f>[1]Auxiliary!D37</f>
        <v>404777175.76215571</v>
      </c>
      <c r="F90" s="142">
        <f>[1]Restricted!D58</f>
        <v>570999110.91620004</v>
      </c>
      <c r="G90" s="142">
        <f>SUM(D90:F90)</f>
        <v>1939139218.6783557</v>
      </c>
    </row>
    <row r="91" spans="1:7" x14ac:dyDescent="0.3">
      <c r="A91" s="137" t="s">
        <v>100</v>
      </c>
      <c r="B91" s="142">
        <f>'[1]E&amp;G'!B58+[1]Auxiliary!B71+[1]Restricted!B71</f>
        <v>1794399941</v>
      </c>
      <c r="C91" s="142">
        <f>'[1]E&amp;G'!C58+[1]Auxiliary!C71+[1]Restricted!C71</f>
        <v>1721930787.9960661</v>
      </c>
      <c r="D91" s="142">
        <f>'[1]E&amp;G'!F71</f>
        <v>963362934</v>
      </c>
      <c r="E91" s="142">
        <f>[1]Auxiliary!D71</f>
        <v>404777176.20205033</v>
      </c>
      <c r="F91" s="142">
        <f>[1]Restricted!D71</f>
        <v>570999110.91620004</v>
      </c>
      <c r="G91" s="142">
        <f>SUM(D91:F91)</f>
        <v>1939139221.1182504</v>
      </c>
    </row>
    <row r="92" spans="1:7" x14ac:dyDescent="0.3">
      <c r="A92" s="137" t="s">
        <v>101</v>
      </c>
      <c r="B92" s="142">
        <f t="shared" ref="B92:G92" si="14">B90-B91</f>
        <v>-1</v>
      </c>
      <c r="C92" s="142">
        <f t="shared" si="14"/>
        <v>-1</v>
      </c>
      <c r="D92" s="142">
        <f t="shared" si="14"/>
        <v>-2</v>
      </c>
      <c r="E92" s="142">
        <f t="shared" si="14"/>
        <v>-0.43989461660385132</v>
      </c>
      <c r="F92" s="142">
        <f t="shared" si="14"/>
        <v>0</v>
      </c>
      <c r="G92" s="142">
        <f t="shared" si="14"/>
        <v>-2.4398946762084961</v>
      </c>
    </row>
  </sheetData>
  <mergeCells count="3">
    <mergeCell ref="A5:A6"/>
    <mergeCell ref="B5:C5"/>
    <mergeCell ref="D5:G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Visual chart</vt:lpstr>
      <vt:lpstr>Revenue table</vt:lpstr>
      <vt:lpstr>CF Summary</vt:lpstr>
      <vt:lpstr>FY23 Table A</vt:lpstr>
      <vt:lpstr>FY22 Table A</vt:lpstr>
    </vt:vector>
  </TitlesOfParts>
  <Manager/>
  <Company/>
  <LinksUpToDate>false</LinksUpToDate>
  <SharedDoc>false</SharedDoc>
  <HyperlinkBase>www.colorado.edu/bfp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 Boulder Revenue History Breakout</dc:title>
  <dc:creator/>
  <dc:description>CU Boulder's sources of revenue broken out by percentage of total revenue by fiscal year.</dc:description>
  <cp:lastModifiedBy/>
  <dcterms:created xsi:type="dcterms:W3CDTF">2018-02-21T21:34:37Z</dcterms:created>
  <dcterms:modified xsi:type="dcterms:W3CDTF">2024-10-03T16:39:15Z</dcterms:modified>
  <cp:category>Budget, Higher education</cp:category>
  <cp:contentStatus/>
</cp:coreProperties>
</file>