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Budget Education and Training\Info Page\FY25 Info Card\"/>
    </mc:Choice>
  </mc:AlternateContent>
  <xr:revisionPtr revIDLastSave="0" documentId="13_ncr:1_{B1263796-E844-42BF-9E7F-DDE9CE7260F5}" xr6:coauthVersionLast="47" xr6:coauthVersionMax="47" xr10:uidLastSave="{00000000-0000-0000-0000-000000000000}"/>
  <bookViews>
    <workbookView xWindow="28680" yWindow="-120" windowWidth="29040" windowHeight="15840" xr2:uid="{6D1F2EF0-9469-4962-A2EE-D516DA3F054C}"/>
  </bookViews>
  <sheets>
    <sheet name="Revenue" sheetId="1" r:id="rId1"/>
    <sheet name="Fringe Benefits" sheetId="2" r:id="rId2"/>
    <sheet name="ICR Rates" sheetId="3" r:id="rId3"/>
    <sheet name="OCG" sheetId="4" r:id="rId4"/>
    <sheet name="GAIR" sheetId="5" r:id="rId5"/>
    <sheet name="State Appropriations" sheetId="6" r:id="rId6"/>
    <sheet name="Student Statistics (Headcount)" sheetId="8" r:id="rId7"/>
    <sheet name="Employee Headcount" sheetId="9" r:id="rId8"/>
    <sheet name="Tuition&amp;Fees" sheetId="12" r:id="rId9"/>
    <sheet name="Enrollment Summary" sheetId="10" r:id="rId10"/>
    <sheet name="Enrollment Summary by School" sheetId="11" r:id="rId11"/>
    <sheet name="Info ALL" sheetId="14"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5" i="12" l="1"/>
  <c r="B12" i="1"/>
  <c r="S20" i="12" l="1"/>
  <c r="T20" i="12"/>
  <c r="U20" i="12"/>
  <c r="V20" i="12"/>
  <c r="W20" i="12"/>
  <c r="O32" i="12"/>
  <c r="L20" i="12"/>
  <c r="M20" i="12"/>
  <c r="N20" i="12"/>
  <c r="O20" i="12"/>
  <c r="P20" i="12"/>
  <c r="S6" i="12" l="1"/>
  <c r="T6" i="12"/>
  <c r="U6" i="12"/>
  <c r="V6" i="12"/>
  <c r="W6" i="12"/>
  <c r="M32" i="12"/>
  <c r="B11" i="1" l="1"/>
  <c r="F8" i="1" l="1"/>
  <c r="B18" i="11"/>
  <c r="L6" i="12" l="1"/>
  <c r="M6" i="12"/>
  <c r="N6" i="12"/>
  <c r="P6" i="12"/>
  <c r="O6" i="12" s="1"/>
  <c r="P19" i="12"/>
  <c r="O19" i="12"/>
  <c r="N19" i="12"/>
  <c r="M19" i="12"/>
  <c r="L19" i="12"/>
  <c r="T7" i="5"/>
  <c r="E5" i="5"/>
  <c r="D5" i="5"/>
  <c r="C5" i="5"/>
  <c r="B5" i="5"/>
  <c r="E11" i="2"/>
  <c r="E10" i="2"/>
  <c r="E9" i="2"/>
  <c r="E8" i="2"/>
  <c r="E7" i="2"/>
  <c r="D11" i="2"/>
  <c r="D10" i="2"/>
  <c r="D9" i="2"/>
  <c r="D8" i="2"/>
  <c r="D7" i="2"/>
  <c r="C11" i="2"/>
  <c r="C10" i="2"/>
  <c r="C9" i="2"/>
  <c r="C8" i="2"/>
  <c r="C7" i="2"/>
  <c r="B11" i="2"/>
  <c r="B10" i="2"/>
  <c r="B9" i="2"/>
  <c r="B8" i="2"/>
  <c r="B7" i="2"/>
  <c r="D15" i="14" l="1"/>
  <c r="D3" i="14"/>
  <c r="H85" i="14"/>
  <c r="G85" i="14"/>
  <c r="E85" i="14"/>
  <c r="D85" i="14"/>
  <c r="G73" i="14"/>
  <c r="H73" i="14"/>
  <c r="E73" i="14"/>
  <c r="D73" i="14"/>
  <c r="F6" i="12"/>
  <c r="E6" i="12"/>
  <c r="E22" i="12" l="1"/>
  <c r="G91" i="14" s="1"/>
  <c r="E13" i="12"/>
  <c r="G79" i="14" s="1"/>
  <c r="F22" i="12"/>
  <c r="H91" i="14" s="1"/>
  <c r="F13" i="12"/>
  <c r="H79" i="14" s="1"/>
  <c r="F21" i="12"/>
  <c r="F20" i="12"/>
  <c r="H89" i="14" s="1"/>
  <c r="F19" i="12"/>
  <c r="H88" i="14" s="1"/>
  <c r="F18" i="12"/>
  <c r="H87" i="14" s="1"/>
  <c r="F17" i="12"/>
  <c r="H86" i="14" s="1"/>
  <c r="E21" i="12"/>
  <c r="E20" i="12"/>
  <c r="G89" i="14" s="1"/>
  <c r="E19" i="12"/>
  <c r="G88" i="14" s="1"/>
  <c r="E18" i="12"/>
  <c r="G87" i="14" s="1"/>
  <c r="E17" i="12"/>
  <c r="G86" i="14" s="1"/>
  <c r="B6" i="12"/>
  <c r="B21" i="12" s="1"/>
  <c r="D90" i="14" s="1"/>
  <c r="C6" i="12"/>
  <c r="F12" i="12"/>
  <c r="F11" i="12"/>
  <c r="H77" i="14" s="1"/>
  <c r="F10" i="12"/>
  <c r="H76" i="14" s="1"/>
  <c r="F9" i="12"/>
  <c r="H75" i="14" s="1"/>
  <c r="F8" i="12"/>
  <c r="H74" i="14" s="1"/>
  <c r="E12" i="12"/>
  <c r="E11" i="12"/>
  <c r="G77" i="14" s="1"/>
  <c r="E10" i="12"/>
  <c r="G76" i="14" s="1"/>
  <c r="E9" i="12"/>
  <c r="G75" i="14" s="1"/>
  <c r="E8" i="12"/>
  <c r="G74" i="14" s="1"/>
  <c r="C17" i="12" l="1"/>
  <c r="E86" i="14" s="1"/>
  <c r="C81" i="14"/>
  <c r="G13" i="12"/>
  <c r="I79" i="14" s="1"/>
  <c r="G22" i="12"/>
  <c r="I91" i="14" s="1"/>
  <c r="E23" i="12"/>
  <c r="G92" i="14" s="1"/>
  <c r="G90" i="14"/>
  <c r="F14" i="12"/>
  <c r="H80" i="14" s="1"/>
  <c r="H78" i="14"/>
  <c r="E14" i="12"/>
  <c r="G80" i="14" s="1"/>
  <c r="G78" i="14"/>
  <c r="F23" i="12"/>
  <c r="H92" i="14" s="1"/>
  <c r="H90" i="14"/>
  <c r="C20" i="12"/>
  <c r="E89" i="14" s="1"/>
  <c r="B18" i="12"/>
  <c r="D87" i="14" s="1"/>
  <c r="C21" i="12"/>
  <c r="B19" i="12"/>
  <c r="D88" i="14" s="1"/>
  <c r="B17" i="12"/>
  <c r="B20" i="12"/>
  <c r="D89" i="14" s="1"/>
  <c r="C9" i="12"/>
  <c r="E75" i="14" s="1"/>
  <c r="C22" i="12"/>
  <c r="E91" i="14" s="1"/>
  <c r="C13" i="12"/>
  <c r="E79" i="14" s="1"/>
  <c r="C18" i="12"/>
  <c r="B8" i="12"/>
  <c r="D74" i="14" s="1"/>
  <c r="B13" i="12"/>
  <c r="D79" i="14" s="1"/>
  <c r="B22" i="12"/>
  <c r="C19" i="12"/>
  <c r="E88" i="14" s="1"/>
  <c r="G19" i="12"/>
  <c r="I88" i="14" s="1"/>
  <c r="G20" i="12"/>
  <c r="I89" i="14" s="1"/>
  <c r="G18" i="12"/>
  <c r="I87" i="14" s="1"/>
  <c r="G21" i="12"/>
  <c r="I90" i="14" s="1"/>
  <c r="G17" i="12"/>
  <c r="I86" i="14" s="1"/>
  <c r="B11" i="12"/>
  <c r="D77" i="14" s="1"/>
  <c r="B12" i="12"/>
  <c r="B9" i="12"/>
  <c r="D75" i="14" s="1"/>
  <c r="B10" i="12"/>
  <c r="D76" i="14" s="1"/>
  <c r="C12" i="12"/>
  <c r="C10" i="12"/>
  <c r="E76" i="14" s="1"/>
  <c r="C11" i="12"/>
  <c r="E77" i="14" s="1"/>
  <c r="C8" i="12"/>
  <c r="G10" i="12"/>
  <c r="I76" i="14" s="1"/>
  <c r="G9" i="12"/>
  <c r="I75" i="14" s="1"/>
  <c r="G11" i="12"/>
  <c r="I77" i="14" s="1"/>
  <c r="G12" i="12"/>
  <c r="I78" i="14" s="1"/>
  <c r="G8" i="12"/>
  <c r="I74" i="14" s="1"/>
  <c r="G23" i="12" l="1"/>
  <c r="I92" i="14" s="1"/>
  <c r="G14" i="12"/>
  <c r="I80" i="14" s="1"/>
  <c r="C14" i="12"/>
  <c r="E80" i="14" s="1"/>
  <c r="E78" i="14"/>
  <c r="C23" i="12"/>
  <c r="E92" i="14" s="1"/>
  <c r="E90" i="14"/>
  <c r="D18" i="12"/>
  <c r="F87" i="14" s="1"/>
  <c r="E87" i="14"/>
  <c r="B14" i="12"/>
  <c r="D80" i="14" s="1"/>
  <c r="D78" i="14"/>
  <c r="D8" i="12"/>
  <c r="F74" i="14" s="1"/>
  <c r="E74" i="14"/>
  <c r="D19" i="12"/>
  <c r="F88" i="14" s="1"/>
  <c r="D21" i="12"/>
  <c r="F90" i="14" s="1"/>
  <c r="D20" i="12"/>
  <c r="F89" i="14" s="1"/>
  <c r="B23" i="12"/>
  <c r="D92" i="14" s="1"/>
  <c r="D91" i="14"/>
  <c r="D17" i="12"/>
  <c r="F86" i="14" s="1"/>
  <c r="D86" i="14"/>
  <c r="D13" i="12"/>
  <c r="F79" i="14" s="1"/>
  <c r="D9" i="12"/>
  <c r="F75" i="14" s="1"/>
  <c r="D22" i="12"/>
  <c r="F91" i="14" s="1"/>
  <c r="D12" i="12"/>
  <c r="F78" i="14" s="1"/>
  <c r="D11" i="12"/>
  <c r="F77" i="14" s="1"/>
  <c r="D10" i="12"/>
  <c r="F76" i="14" s="1"/>
  <c r="G148" i="14"/>
  <c r="E148" i="14"/>
  <c r="C146" i="14"/>
  <c r="G144" i="14"/>
  <c r="G143" i="14"/>
  <c r="G142" i="14"/>
  <c r="G141" i="14"/>
  <c r="G140" i="14"/>
  <c r="G139" i="14"/>
  <c r="G138" i="14"/>
  <c r="G137" i="14"/>
  <c r="G136" i="14"/>
  <c r="G135" i="14"/>
  <c r="G134" i="14"/>
  <c r="F144" i="14"/>
  <c r="F143" i="14"/>
  <c r="F142" i="14"/>
  <c r="F141" i="14"/>
  <c r="F140" i="14"/>
  <c r="F139" i="14"/>
  <c r="F138" i="14"/>
  <c r="F137" i="14"/>
  <c r="F136" i="14"/>
  <c r="F135" i="14"/>
  <c r="F134" i="14"/>
  <c r="E144" i="14"/>
  <c r="E143" i="14"/>
  <c r="E142" i="14"/>
  <c r="E141" i="14"/>
  <c r="E140" i="14"/>
  <c r="E139" i="14"/>
  <c r="E138" i="14"/>
  <c r="E137" i="14"/>
  <c r="E136" i="14"/>
  <c r="E135" i="14"/>
  <c r="E134" i="14"/>
  <c r="D143" i="14"/>
  <c r="D142" i="14"/>
  <c r="D141" i="14"/>
  <c r="D140" i="14"/>
  <c r="D139" i="14"/>
  <c r="D138" i="14"/>
  <c r="D137" i="14"/>
  <c r="D136" i="14"/>
  <c r="D135" i="14"/>
  <c r="D134" i="14"/>
  <c r="C132" i="14"/>
  <c r="C118" i="14"/>
  <c r="G121" i="14"/>
  <c r="G122" i="14"/>
  <c r="G123" i="14"/>
  <c r="G124" i="14"/>
  <c r="G125" i="14"/>
  <c r="G126" i="14"/>
  <c r="G127" i="14"/>
  <c r="G128" i="14"/>
  <c r="G129" i="14"/>
  <c r="G130" i="14"/>
  <c r="G120" i="14"/>
  <c r="F121" i="14"/>
  <c r="F122" i="14"/>
  <c r="F123" i="14"/>
  <c r="F124" i="14"/>
  <c r="F125" i="14"/>
  <c r="F126" i="14"/>
  <c r="F127" i="14"/>
  <c r="F128" i="14"/>
  <c r="F129" i="14"/>
  <c r="F120" i="14"/>
  <c r="E121" i="14"/>
  <c r="E122" i="14"/>
  <c r="E123" i="14"/>
  <c r="E124" i="14"/>
  <c r="E125" i="14"/>
  <c r="E126" i="14"/>
  <c r="E127" i="14"/>
  <c r="E128" i="14"/>
  <c r="E129" i="14"/>
  <c r="E130" i="14"/>
  <c r="E120" i="14"/>
  <c r="D121" i="14"/>
  <c r="D122" i="14"/>
  <c r="D123" i="14"/>
  <c r="D124" i="14"/>
  <c r="D125" i="14"/>
  <c r="D126" i="14"/>
  <c r="D127" i="14"/>
  <c r="D128" i="14"/>
  <c r="D129" i="14"/>
  <c r="D130" i="14"/>
  <c r="D120" i="14"/>
  <c r="D14" i="12" l="1"/>
  <c r="F80" i="14" s="1"/>
  <c r="D23" i="12"/>
  <c r="F92" i="14" s="1"/>
  <c r="G107" i="14"/>
  <c r="F107" i="14"/>
  <c r="E107" i="14"/>
  <c r="D70" i="14"/>
  <c r="G65" i="14"/>
  <c r="E65" i="14"/>
  <c r="F65" i="14"/>
  <c r="D65" i="14"/>
  <c r="F61" i="14"/>
  <c r="F59" i="14"/>
  <c r="F58" i="14"/>
  <c r="F57" i="14"/>
  <c r="F56" i="14"/>
  <c r="F55" i="14"/>
  <c r="D61" i="14"/>
  <c r="D60" i="14"/>
  <c r="D59" i="14"/>
  <c r="D57" i="14"/>
  <c r="D56" i="14"/>
  <c r="D55" i="14"/>
  <c r="G51" i="14"/>
  <c r="G50" i="14"/>
  <c r="G49" i="14"/>
  <c r="G48" i="14"/>
  <c r="G47" i="14"/>
  <c r="A13" i="4"/>
  <c r="C44" i="14" s="1"/>
  <c r="A12" i="4"/>
  <c r="C43" i="14" s="1"/>
  <c r="A11" i="4"/>
  <c r="C42" i="14" s="1"/>
  <c r="A10" i="4"/>
  <c r="C41" i="14" s="1"/>
  <c r="A9" i="4"/>
  <c r="C40" i="14" s="1"/>
  <c r="A8" i="4"/>
  <c r="C39" i="14" s="1"/>
  <c r="G32" i="14"/>
  <c r="F32" i="14"/>
  <c r="E32" i="14"/>
  <c r="D32" i="14"/>
  <c r="F60" i="14" l="1"/>
  <c r="F62" i="14" s="1"/>
  <c r="D58" i="14"/>
  <c r="D62" i="14" s="1"/>
  <c r="A6" i="6"/>
  <c r="C22" i="14" s="1"/>
  <c r="D18" i="14"/>
  <c r="D17" i="14"/>
  <c r="D16" i="14"/>
  <c r="G70" i="14"/>
  <c r="G69" i="14"/>
  <c r="G68" i="14"/>
  <c r="G67" i="14"/>
  <c r="G66" i="14"/>
  <c r="F70" i="14"/>
  <c r="F69" i="14"/>
  <c r="F68" i="14"/>
  <c r="F67" i="14"/>
  <c r="F66" i="14"/>
  <c r="E70" i="14"/>
  <c r="E69" i="14"/>
  <c r="E68" i="14"/>
  <c r="E67" i="14"/>
  <c r="E66" i="14"/>
  <c r="D69" i="14"/>
  <c r="D68" i="14"/>
  <c r="D67" i="14"/>
  <c r="D66" i="14"/>
  <c r="D5" i="2"/>
  <c r="B5" i="2"/>
  <c r="B31" i="11"/>
  <c r="D144" i="14" s="1"/>
  <c r="D18" i="11"/>
  <c r="F130" i="14" s="1"/>
  <c r="B32" i="11" l="1"/>
  <c r="D148" i="14" s="1"/>
  <c r="D32" i="11"/>
  <c r="F148" i="14" s="1"/>
  <c r="A20" i="11"/>
  <c r="A7" i="11"/>
  <c r="D6" i="10" l="1"/>
  <c r="D12" i="10" s="1"/>
  <c r="C6" i="10"/>
  <c r="C9" i="10" s="1"/>
  <c r="E109" i="14" s="1"/>
  <c r="A6" i="9"/>
  <c r="C53" i="14" s="1"/>
  <c r="D13" i="9"/>
  <c r="D15" i="9" s="1"/>
  <c r="B11" i="9"/>
  <c r="B15" i="9" s="1"/>
  <c r="C7" i="8"/>
  <c r="B7" i="8"/>
  <c r="Y16" i="4"/>
  <c r="AB16" i="4"/>
  <c r="Y17" i="4"/>
  <c r="AB17" i="4"/>
  <c r="Y18" i="4"/>
  <c r="AB18" i="4"/>
  <c r="Y19" i="4"/>
  <c r="AB19" i="4"/>
  <c r="E6" i="6"/>
  <c r="G22" i="14" s="1"/>
  <c r="E7" i="6"/>
  <c r="G23" i="14" s="1"/>
  <c r="E8" i="6"/>
  <c r="G24" i="14" s="1"/>
  <c r="E9" i="6"/>
  <c r="G25" i="14" s="1"/>
  <c r="E10" i="6"/>
  <c r="G26" i="14" s="1"/>
  <c r="E11" i="6"/>
  <c r="G27" i="14" s="1"/>
  <c r="E12" i="6"/>
  <c r="G28" i="14" s="1"/>
  <c r="E13" i="6"/>
  <c r="G29" i="14" s="1"/>
  <c r="F9" i="6" l="1"/>
  <c r="H25" i="14" s="1"/>
  <c r="F8" i="6"/>
  <c r="H24" i="14" s="1"/>
  <c r="F112" i="14"/>
  <c r="F7" i="6"/>
  <c r="H23" i="14" s="1"/>
  <c r="B15" i="8"/>
  <c r="D103" i="14" s="1"/>
  <c r="D95" i="14"/>
  <c r="C11" i="10"/>
  <c r="E111" i="14" s="1"/>
  <c r="D15" i="8"/>
  <c r="E95" i="14"/>
  <c r="D8" i="10"/>
  <c r="F10" i="6"/>
  <c r="H26" i="14" s="1"/>
  <c r="C12" i="10"/>
  <c r="D9" i="10"/>
  <c r="F11" i="6"/>
  <c r="H27" i="14" s="1"/>
  <c r="D11" i="10"/>
  <c r="F12" i="6"/>
  <c r="H28" i="14" s="1"/>
  <c r="F13" i="6"/>
  <c r="H29" i="14" s="1"/>
  <c r="F6" i="6"/>
  <c r="H22" i="14" s="1"/>
  <c r="C8" i="10"/>
  <c r="E108" i="14" s="1"/>
  <c r="E110" i="14" s="1"/>
  <c r="B11" i="8"/>
  <c r="D99" i="14" s="1"/>
  <c r="B10" i="8"/>
  <c r="D98" i="14" s="1"/>
  <c r="C12" i="8"/>
  <c r="E100" i="14" s="1"/>
  <c r="C8" i="8"/>
  <c r="E96" i="14" s="1"/>
  <c r="B13" i="8"/>
  <c r="D101" i="14" s="1"/>
  <c r="B12" i="8"/>
  <c r="D100" i="14" s="1"/>
  <c r="D16" i="8"/>
  <c r="B16" i="8"/>
  <c r="D104" i="14" s="1"/>
  <c r="C9" i="8"/>
  <c r="E97" i="14" s="1"/>
  <c r="C13" i="8"/>
  <c r="E101" i="14" s="1"/>
  <c r="C11" i="8"/>
  <c r="E99" i="14" s="1"/>
  <c r="B9" i="8"/>
  <c r="D97" i="14" s="1"/>
  <c r="C16" i="8"/>
  <c r="E104" i="14" s="1"/>
  <c r="D11" i="8"/>
  <c r="C10" i="8"/>
  <c r="E98" i="14" s="1"/>
  <c r="C14" i="8"/>
  <c r="E102" i="14" s="1"/>
  <c r="D12" i="8"/>
  <c r="C15" i="8"/>
  <c r="E103" i="14" s="1"/>
  <c r="D14" i="8"/>
  <c r="B14" i="8"/>
  <c r="D102" i="14" s="1"/>
  <c r="D13" i="8"/>
  <c r="B8" i="8"/>
  <c r="D96" i="14" s="1"/>
  <c r="D15" i="10" l="1"/>
  <c r="F9" i="10"/>
  <c r="F109" i="14"/>
  <c r="C15" i="10"/>
  <c r="E115" i="14" s="1"/>
  <c r="E112" i="14"/>
  <c r="E113" i="14" s="1"/>
  <c r="F12" i="10"/>
  <c r="D13" i="10"/>
  <c r="E11" i="10" s="1"/>
  <c r="F11" i="10"/>
  <c r="F111" i="14"/>
  <c r="F8" i="10"/>
  <c r="F108" i="14"/>
  <c r="F113" i="14"/>
  <c r="E11" i="8"/>
  <c r="G99" i="14" s="1"/>
  <c r="F99" i="14"/>
  <c r="E12" i="8"/>
  <c r="G100" i="14" s="1"/>
  <c r="F100" i="14"/>
  <c r="E13" i="8"/>
  <c r="G101" i="14" s="1"/>
  <c r="F101" i="14"/>
  <c r="E15" i="8"/>
  <c r="G103" i="14" s="1"/>
  <c r="F103" i="14"/>
  <c r="E16" i="8"/>
  <c r="G104" i="14" s="1"/>
  <c r="F104" i="14"/>
  <c r="E14" i="8"/>
  <c r="G102" i="14" s="1"/>
  <c r="F102" i="14"/>
  <c r="C14" i="10"/>
  <c r="C10" i="10"/>
  <c r="D10" i="10"/>
  <c r="F10" i="10" s="1"/>
  <c r="D14" i="10"/>
  <c r="C13" i="10"/>
  <c r="D10" i="8"/>
  <c r="D8" i="8"/>
  <c r="D9" i="8"/>
  <c r="F110" i="14" l="1"/>
  <c r="G111" i="14"/>
  <c r="H112" i="14"/>
  <c r="G12" i="10"/>
  <c r="I112" i="14" s="1"/>
  <c r="D16" i="10"/>
  <c r="E14" i="10" s="1"/>
  <c r="F114" i="14"/>
  <c r="F14" i="10"/>
  <c r="H108" i="14"/>
  <c r="G8" i="10"/>
  <c r="I108" i="14" s="1"/>
  <c r="E8" i="10"/>
  <c r="E9" i="10"/>
  <c r="G109" i="14" s="1"/>
  <c r="C16" i="10"/>
  <c r="C17" i="10" s="1"/>
  <c r="E114" i="14"/>
  <c r="E116" i="14" s="1"/>
  <c r="H109" i="14"/>
  <c r="G9" i="10"/>
  <c r="I109" i="14" s="1"/>
  <c r="F13" i="10"/>
  <c r="E12" i="10"/>
  <c r="G112" i="14" s="1"/>
  <c r="G10" i="10"/>
  <c r="I110" i="14" s="1"/>
  <c r="H110" i="14"/>
  <c r="H111" i="14"/>
  <c r="G11" i="10"/>
  <c r="I111" i="14" s="1"/>
  <c r="F15" i="10"/>
  <c r="F115" i="14"/>
  <c r="E8" i="8"/>
  <c r="G96" i="14" s="1"/>
  <c r="F96" i="14"/>
  <c r="E9" i="8"/>
  <c r="G97" i="14" s="1"/>
  <c r="F97" i="14"/>
  <c r="E10" i="8"/>
  <c r="G98" i="14" s="1"/>
  <c r="F98" i="14"/>
  <c r="B6" i="6"/>
  <c r="D22" i="14" s="1"/>
  <c r="E15" i="10" l="1"/>
  <c r="G115" i="14" s="1"/>
  <c r="F116" i="14"/>
  <c r="H114" i="14"/>
  <c r="G14" i="10"/>
  <c r="I114" i="14" s="1"/>
  <c r="D17" i="10"/>
  <c r="F16" i="10"/>
  <c r="E16" i="10"/>
  <c r="G114" i="14"/>
  <c r="G116" i="14" s="1"/>
  <c r="G108" i="14"/>
  <c r="G110" i="14" s="1"/>
  <c r="E10" i="10"/>
  <c r="H115" i="14"/>
  <c r="G15" i="10"/>
  <c r="I115" i="14" s="1"/>
  <c r="E13" i="10"/>
  <c r="H113" i="14"/>
  <c r="G13" i="10"/>
  <c r="I113" i="14" s="1"/>
  <c r="G113" i="14"/>
  <c r="A8" i="6"/>
  <c r="A7" i="6"/>
  <c r="A11" i="6"/>
  <c r="A10" i="6"/>
  <c r="A9" i="6"/>
  <c r="A12" i="6"/>
  <c r="A14" i="6"/>
  <c r="A13" i="6"/>
  <c r="H116" i="14" l="1"/>
  <c r="G16" i="10"/>
  <c r="I116" i="14" s="1"/>
  <c r="C30" i="14"/>
  <c r="C29" i="14"/>
  <c r="B13" i="6"/>
  <c r="D29" i="14" s="1"/>
  <c r="C25" i="14"/>
  <c r="B9" i="6"/>
  <c r="D25" i="14" s="1"/>
  <c r="C26" i="14"/>
  <c r="B10" i="6"/>
  <c r="D26" i="14" s="1"/>
  <c r="C27" i="14"/>
  <c r="C23" i="14"/>
  <c r="B7" i="6"/>
  <c r="D23" i="14" s="1"/>
  <c r="C28" i="14"/>
  <c r="B12" i="6"/>
  <c r="D28" i="14" s="1"/>
  <c r="C24" i="14"/>
  <c r="Q10" i="6"/>
  <c r="Q9" i="6"/>
  <c r="Q8" i="6"/>
  <c r="Q7" i="6"/>
  <c r="B14" i="6" s="1"/>
  <c r="D30" i="14" s="1"/>
  <c r="Q6" i="6"/>
  <c r="S7" i="6" s="1"/>
  <c r="R7" i="6" s="1"/>
  <c r="C14" i="6" s="1"/>
  <c r="E30" i="14" s="1"/>
  <c r="Q5" i="6"/>
  <c r="B8" i="6" s="1"/>
  <c r="D24" i="14" s="1"/>
  <c r="Q4" i="6"/>
  <c r="S4" i="6" s="1"/>
  <c r="R4" i="6" s="1"/>
  <c r="Q2" i="6"/>
  <c r="S3" i="6" s="1"/>
  <c r="R3" i="6" s="1"/>
  <c r="S8" i="6" l="1"/>
  <c r="R8" i="6" s="1"/>
  <c r="S9" i="6"/>
  <c r="R9" i="6" s="1"/>
  <c r="S10" i="6"/>
  <c r="R10" i="6" s="1"/>
  <c r="D14" i="6"/>
  <c r="F30" i="14" s="1"/>
  <c r="S5" i="6"/>
  <c r="S6" i="6"/>
  <c r="B11" i="6"/>
  <c r="D27" i="14" s="1"/>
  <c r="R5" i="6" l="1"/>
  <c r="C8" i="6" s="1"/>
  <c r="E24" i="14" s="1"/>
  <c r="D8" i="6"/>
  <c r="F24" i="14" s="1"/>
  <c r="R6" i="6"/>
  <c r="C11" i="6" s="1"/>
  <c r="E27" i="14" s="1"/>
  <c r="D11" i="6"/>
  <c r="F27" i="14" s="1"/>
  <c r="E8" i="5"/>
  <c r="G35" i="14" s="1"/>
  <c r="D8" i="5"/>
  <c r="F35" i="14" s="1"/>
  <c r="C8" i="5"/>
  <c r="E35" i="14" s="1"/>
  <c r="B8" i="5"/>
  <c r="D35" i="14" s="1"/>
  <c r="E7" i="5"/>
  <c r="G34" i="14" s="1"/>
  <c r="D7" i="5"/>
  <c r="F34" i="14" s="1"/>
  <c r="C7" i="5"/>
  <c r="E34" i="14" s="1"/>
  <c r="B7" i="5"/>
  <c r="D34" i="14" s="1"/>
  <c r="E6" i="5"/>
  <c r="G33" i="14" s="1"/>
  <c r="D6" i="5"/>
  <c r="F33" i="14" s="1"/>
  <c r="C6" i="5"/>
  <c r="E33" i="14" s="1"/>
  <c r="B6" i="5"/>
  <c r="D33" i="14" s="1"/>
  <c r="G13" i="4"/>
  <c r="I44" i="14" s="1"/>
  <c r="F13" i="4"/>
  <c r="H44" i="14" s="1"/>
  <c r="D13" i="4"/>
  <c r="F44" i="14" s="1"/>
  <c r="C13" i="4"/>
  <c r="E44" i="14" s="1"/>
  <c r="B13" i="4"/>
  <c r="D44" i="14" s="1"/>
  <c r="G12" i="4"/>
  <c r="I43" i="14" s="1"/>
  <c r="F12" i="4"/>
  <c r="H43" i="14" s="1"/>
  <c r="D12" i="4"/>
  <c r="F43" i="14" s="1"/>
  <c r="C12" i="4"/>
  <c r="E43" i="14" s="1"/>
  <c r="B12" i="4"/>
  <c r="D43" i="14" s="1"/>
  <c r="H11" i="4"/>
  <c r="J42" i="14" s="1"/>
  <c r="G11" i="4"/>
  <c r="I42" i="14" s="1"/>
  <c r="F11" i="4"/>
  <c r="H42" i="14" s="1"/>
  <c r="E11" i="4"/>
  <c r="G42" i="14" s="1"/>
  <c r="D11" i="4"/>
  <c r="F42" i="14" s="1"/>
  <c r="C11" i="4"/>
  <c r="E42" i="14" s="1"/>
  <c r="B11" i="4"/>
  <c r="D42" i="14" s="1"/>
  <c r="H10" i="4"/>
  <c r="J41" i="14" s="1"/>
  <c r="G10" i="4"/>
  <c r="I41" i="14" s="1"/>
  <c r="F10" i="4"/>
  <c r="H41" i="14" s="1"/>
  <c r="E10" i="4"/>
  <c r="G41" i="14" s="1"/>
  <c r="D10" i="4"/>
  <c r="F41" i="14" s="1"/>
  <c r="C10" i="4"/>
  <c r="E41" i="14" s="1"/>
  <c r="B10" i="4"/>
  <c r="D41" i="14" s="1"/>
  <c r="H9" i="4"/>
  <c r="J40" i="14" s="1"/>
  <c r="G9" i="4"/>
  <c r="I40" i="14" s="1"/>
  <c r="F9" i="4"/>
  <c r="H40" i="14" s="1"/>
  <c r="E9" i="4"/>
  <c r="G40" i="14" s="1"/>
  <c r="D9" i="4"/>
  <c r="F40" i="14" s="1"/>
  <c r="C9" i="4"/>
  <c r="E40" i="14" s="1"/>
  <c r="B9" i="4"/>
  <c r="D40" i="14" s="1"/>
  <c r="H8" i="4"/>
  <c r="J39" i="14" s="1"/>
  <c r="G8" i="4"/>
  <c r="I39" i="14" s="1"/>
  <c r="F8" i="4"/>
  <c r="H39" i="14" s="1"/>
  <c r="E8" i="4"/>
  <c r="G39" i="14" s="1"/>
  <c r="D8" i="4"/>
  <c r="F39" i="14" s="1"/>
  <c r="C8" i="4"/>
  <c r="E39" i="14" s="1"/>
  <c r="B8" i="4"/>
  <c r="D39" i="14" s="1"/>
  <c r="AB15" i="4"/>
  <c r="AB14" i="4"/>
  <c r="AB13" i="4"/>
  <c r="H13" i="4" s="1"/>
  <c r="J44" i="14" s="1"/>
  <c r="AB12" i="4"/>
  <c r="H12" i="4" s="1"/>
  <c r="J43" i="14" s="1"/>
  <c r="Y15" i="4"/>
  <c r="Y14" i="4"/>
  <c r="Y13" i="4"/>
  <c r="E13" i="4" s="1"/>
  <c r="G44" i="14" s="1"/>
  <c r="Y12" i="4"/>
  <c r="E12" i="4" s="1"/>
  <c r="G43" i="14" s="1"/>
  <c r="AB11" i="4"/>
  <c r="Y11" i="4"/>
  <c r="AB10" i="4"/>
  <c r="Y10" i="4"/>
  <c r="AB9" i="4"/>
  <c r="Y9" i="4"/>
  <c r="AB8" i="4"/>
  <c r="Y8" i="4"/>
  <c r="AB7" i="4"/>
  <c r="Y7" i="4"/>
  <c r="K2" i="3"/>
  <c r="D10" i="3" s="1"/>
  <c r="F51" i="14" s="1"/>
  <c r="F6" i="1"/>
  <c r="B6" i="1"/>
  <c r="F13" i="1"/>
  <c r="D10" i="14" s="1"/>
  <c r="D6" i="3" l="1"/>
  <c r="F47" i="14" s="1"/>
  <c r="D7" i="3"/>
  <c r="F48" i="14" s="1"/>
  <c r="K3" i="3"/>
  <c r="C6" i="3" s="1"/>
  <c r="E47" i="14" s="1"/>
  <c r="D8" i="3"/>
  <c r="F49" i="14" s="1"/>
  <c r="D9" i="3"/>
  <c r="F50" i="14" s="1"/>
  <c r="C7" i="3" l="1"/>
  <c r="E48" i="14" s="1"/>
  <c r="C10" i="3"/>
  <c r="E51" i="14" s="1"/>
  <c r="C8" i="3"/>
  <c r="E49" i="14" s="1"/>
  <c r="C9" i="3"/>
  <c r="E50" i="14" s="1"/>
  <c r="F21" i="1"/>
  <c r="F15" i="1"/>
  <c r="D12" i="14" s="1"/>
  <c r="F14" i="1"/>
  <c r="D11" i="14" s="1"/>
  <c r="F12" i="1"/>
  <c r="D9" i="14" s="1"/>
  <c r="F11" i="1"/>
  <c r="D8" i="14" s="1"/>
  <c r="F10" i="1"/>
  <c r="D7" i="14" s="1"/>
  <c r="F9" i="1"/>
  <c r="D6" i="14" s="1"/>
  <c r="D5" i="14"/>
  <c r="F7" i="1"/>
  <c r="D4" i="14" s="1"/>
  <c r="G20" i="1" l="1"/>
  <c r="E18" i="14" s="1"/>
  <c r="D19" i="14"/>
  <c r="G18" i="1"/>
  <c r="E16" i="14" s="1"/>
  <c r="G19" i="1"/>
  <c r="E17" i="14" s="1"/>
  <c r="G21" i="1"/>
  <c r="E19" i="14" s="1"/>
  <c r="F16" i="1"/>
  <c r="G10" i="1" l="1"/>
  <c r="E7" i="14" s="1"/>
  <c r="D13" i="14"/>
  <c r="G13" i="1"/>
  <c r="E10" i="14" s="1"/>
  <c r="G16" i="1"/>
  <c r="E13" i="14" s="1"/>
  <c r="G15" i="1"/>
  <c r="E12" i="14" s="1"/>
  <c r="F23" i="1"/>
  <c r="G9" i="1"/>
  <c r="E6" i="14" s="1"/>
  <c r="G14" i="1"/>
  <c r="E11" i="14" s="1"/>
  <c r="G12" i="1"/>
  <c r="E9" i="14" s="1"/>
  <c r="G11" i="1"/>
  <c r="E8" i="14" s="1"/>
  <c r="G8" i="1"/>
  <c r="E5" i="14" s="1"/>
  <c r="G7" i="1"/>
  <c r="E4" i="14" s="1"/>
</calcChain>
</file>

<file path=xl/sharedStrings.xml><?xml version="1.0" encoding="utf-8"?>
<sst xmlns="http://schemas.openxmlformats.org/spreadsheetml/2006/main" count="661" uniqueCount="315">
  <si>
    <t>Revenue: Current Funds Budget ($mil)</t>
  </si>
  <si>
    <t>FY22</t>
  </si>
  <si>
    <t>% dist</t>
  </si>
  <si>
    <t>Total State Funding</t>
  </si>
  <si>
    <t>Student Tuition and Fees</t>
  </si>
  <si>
    <t>Federal Grants &amp; Contracts, excluding ICR</t>
  </si>
  <si>
    <t>Indirect Cost Reimbursement</t>
  </si>
  <si>
    <t>State, Local &amp; Priv. Grants &amp; Contracts</t>
  </si>
  <si>
    <t>Gifts</t>
  </si>
  <si>
    <t>Sales &amp; Services of Educational Depts</t>
  </si>
  <si>
    <t>Auxiliary Operating Revenue</t>
  </si>
  <si>
    <t>Other Revenues</t>
  </si>
  <si>
    <t>Total Revenue</t>
  </si>
  <si>
    <t>Revenue: By Fund Type ($ in millions)</t>
  </si>
  <si>
    <t>General Fund</t>
  </si>
  <si>
    <t>Auxiliary Fund</t>
  </si>
  <si>
    <t>Restricted Fund</t>
  </si>
  <si>
    <t>Resident Tuition - COF</t>
  </si>
  <si>
    <t xml:space="preserve">Fee for Service </t>
  </si>
  <si>
    <t>Student Tuition and Fees with COF</t>
  </si>
  <si>
    <t>Other Sources</t>
  </si>
  <si>
    <t>Investment and Interest Income</t>
  </si>
  <si>
    <t>Input Table</t>
  </si>
  <si>
    <t>Validation Check:</t>
  </si>
  <si>
    <t>Location:</t>
  </si>
  <si>
    <t>Matt's Boulder Tables spreadsheet - Table A</t>
  </si>
  <si>
    <t>P:\Budget Development\Regent Retreat Materials\june 2022 bor retreat\June</t>
  </si>
  <si>
    <t>Path:</t>
  </si>
  <si>
    <t>Fringe Benefit Rates</t>
  </si>
  <si>
    <t>Employee Group</t>
  </si>
  <si>
    <t>FT/Perm</t>
  </si>
  <si>
    <t>PT/Temp</t>
  </si>
  <si>
    <t>Classified Staff</t>
  </si>
  <si>
    <t>Hourly</t>
  </si>
  <si>
    <t>-</t>
  </si>
  <si>
    <t>Univ. Staff/Rsch Fac</t>
  </si>
  <si>
    <t>Regular Faculty</t>
  </si>
  <si>
    <t>Student Faculty</t>
  </si>
  <si>
    <t>N/A</t>
  </si>
  <si>
    <t>Backup:</t>
  </si>
  <si>
    <t>ICR Rates</t>
  </si>
  <si>
    <t>Location</t>
  </si>
  <si>
    <t>From</t>
  </si>
  <si>
    <t xml:space="preserve"> To</t>
  </si>
  <si>
    <t>Rate</t>
  </si>
  <si>
    <t>Research</t>
  </si>
  <si>
    <t>On Campus</t>
  </si>
  <si>
    <t>Off Campus</t>
  </si>
  <si>
    <t>Instruction</t>
  </si>
  <si>
    <t>LASP</t>
  </si>
  <si>
    <t>All</t>
  </si>
  <si>
    <t>https://www.colorado.edu/controller/resources/fa-%C2%A0gair-rates</t>
  </si>
  <si>
    <t>Sponsored Projects  ( $ in millions)</t>
  </si>
  <si>
    <t>FY</t>
  </si>
  <si>
    <t># of Proposals</t>
  </si>
  <si>
    <t># of Awards</t>
  </si>
  <si>
    <t>Award Total</t>
  </si>
  <si>
    <t>% change vs. prior year</t>
  </si>
  <si>
    <t>Direct Expense</t>
  </si>
  <si>
    <t>ICR</t>
  </si>
  <si>
    <t>https://www.colorado.edu/ocg/annual-report</t>
  </si>
  <si>
    <t>Notes:</t>
  </si>
  <si>
    <t>Contact Roger McCormick and Nicole Jenkins in OCG, data will not be published on website until October so you will have to wait to upload on the website until OCG allows</t>
  </si>
  <si>
    <t>ICR data: run a REVENUE AND EXPENDITURE TOTAL query in mFin for last FY, take the to date actuals for accounts 315000-315999 Facilities &amp; Admin Reimbursements</t>
  </si>
  <si>
    <t>FY20</t>
  </si>
  <si>
    <t>FY21</t>
  </si>
  <si>
    <t>FY23</t>
  </si>
  <si>
    <t>GAR</t>
  </si>
  <si>
    <t>GIR</t>
  </si>
  <si>
    <t>GAIR</t>
  </si>
  <si>
    <t>$ change vs. prior year</t>
  </si>
  <si>
    <t>State Appropriations (millions) by FY</t>
  </si>
  <si>
    <t>State appropriation</t>
  </si>
  <si>
    <t>Inflation rate by fiscal year</t>
  </si>
  <si>
    <t>Inflation rate %</t>
  </si>
  <si>
    <t>FY24</t>
  </si>
  <si>
    <t>FY25</t>
  </si>
  <si>
    <t>FY26</t>
  </si>
  <si>
    <t>FY27</t>
  </si>
  <si>
    <t>FY28</t>
  </si>
  <si>
    <t>FY29</t>
  </si>
  <si>
    <t>FY30</t>
  </si>
  <si>
    <t>Classified Staff FT/Perm</t>
  </si>
  <si>
    <t>Hourly FT/Perm</t>
  </si>
  <si>
    <t>Univ Staff/Rsch Faculty FT/Perm</t>
  </si>
  <si>
    <t>Regular Faculty FT/Perm</t>
  </si>
  <si>
    <t>Student Faculty FT/Perm</t>
  </si>
  <si>
    <t>Classified Staff PT/Temp</t>
  </si>
  <si>
    <t>Hourly PT/Temp</t>
  </si>
  <si>
    <t>Univ Staff/Rsch Faculty PT/Temp</t>
  </si>
  <si>
    <t>Regular Faculty PT/Temp</t>
  </si>
  <si>
    <t>Student Faculty PT/Temp</t>
  </si>
  <si>
    <t>Fee for Service</t>
  </si>
  <si>
    <t>COF</t>
  </si>
  <si>
    <t>Total</t>
  </si>
  <si>
    <t>2019-20</t>
  </si>
  <si>
    <t>2020-21</t>
  </si>
  <si>
    <t>2021-22</t>
  </si>
  <si>
    <t>2022-23</t>
  </si>
  <si>
    <t>2023-24</t>
  </si>
  <si>
    <t>2024-25</t>
  </si>
  <si>
    <t>2025-26</t>
  </si>
  <si>
    <t>2026-27</t>
  </si>
  <si>
    <t>2027-28</t>
  </si>
  <si>
    <t>Percent Change</t>
  </si>
  <si>
    <t>$ Change</t>
  </si>
  <si>
    <t>https://cdola.colorado.gov/inflation-denver-aurora-lakewood-consumer-price-index</t>
  </si>
  <si>
    <t>CU Boulder uses 2 years prior CPI % change (use 2017 for 2019)</t>
  </si>
  <si>
    <t>2016</t>
  </si>
  <si>
    <t>2017</t>
  </si>
  <si>
    <t>2018</t>
  </si>
  <si>
    <t>2019</t>
  </si>
  <si>
    <t>2020</t>
  </si>
  <si>
    <t>2021</t>
  </si>
  <si>
    <t>2022</t>
  </si>
  <si>
    <t>2023</t>
  </si>
  <si>
    <t>2024</t>
  </si>
  <si>
    <t>2025</t>
  </si>
  <si>
    <t>2026</t>
  </si>
  <si>
    <t>2027</t>
  </si>
  <si>
    <t>2028</t>
  </si>
  <si>
    <t>Student Statistics (headcount)</t>
  </si>
  <si>
    <t>Fall 2021</t>
  </si>
  <si>
    <t>Fall 2022</t>
  </si>
  <si>
    <t># change</t>
  </si>
  <si>
    <t>% change</t>
  </si>
  <si>
    <t>All Students</t>
  </si>
  <si>
    <t>Undergraduate</t>
  </si>
  <si>
    <t>Graduate</t>
  </si>
  <si>
    <t>Women</t>
  </si>
  <si>
    <t>Men</t>
  </si>
  <si>
    <t>Colorado Resident</t>
  </si>
  <si>
    <t>Racial/Ethnic Diversity</t>
  </si>
  <si>
    <t>International</t>
  </si>
  <si>
    <t>Fall 2024</t>
  </si>
  <si>
    <t>Fall 2025</t>
  </si>
  <si>
    <t>Fall 2026</t>
  </si>
  <si>
    <t>Fall 2027</t>
  </si>
  <si>
    <t>Fall 2028</t>
  </si>
  <si>
    <t>Fall 2029</t>
  </si>
  <si>
    <t>Fall 2030</t>
  </si>
  <si>
    <t>Non-Resident</t>
  </si>
  <si>
    <t>Fall 2023</t>
  </si>
  <si>
    <t xml:space="preserve">Contact Blake Redabaugh in ODA for the census data. The census is not conducted until the 3rd Friday after classes begin. Data will be available the following week. </t>
  </si>
  <si>
    <t>Faculty &amp; Staff</t>
  </si>
  <si>
    <t>Students</t>
  </si>
  <si>
    <t>Profs: Full/Assoc./Asst.</t>
  </si>
  <si>
    <t>Grad Part-Time Inst.</t>
  </si>
  <si>
    <t>Instructors</t>
  </si>
  <si>
    <t>Teaching Asst.</t>
  </si>
  <si>
    <t>Other (hon/lec/visit/etc)</t>
  </si>
  <si>
    <t>Research Asst.</t>
  </si>
  <si>
    <t>Academic (total of above)</t>
  </si>
  <si>
    <t>Grad Asst.</t>
  </si>
  <si>
    <t>Research Faculty</t>
  </si>
  <si>
    <t>Student Asst.</t>
  </si>
  <si>
    <t>Univ. Staff &amp; Officers</t>
  </si>
  <si>
    <t>Student Hourly</t>
  </si>
  <si>
    <t>Total Faculty &amp; Staff</t>
  </si>
  <si>
    <t>Total Students</t>
  </si>
  <si>
    <r>
      <t xml:space="preserve">Enrollment Summary  </t>
    </r>
    <r>
      <rPr>
        <b/>
        <i/>
        <sz val="8"/>
        <color theme="1"/>
        <rFont val="Arial"/>
        <family val="2"/>
      </rPr>
      <t>(credit hours)</t>
    </r>
  </si>
  <si>
    <t>#</t>
  </si>
  <si>
    <t>%</t>
  </si>
  <si>
    <t>Headcount</t>
  </si>
  <si>
    <t>% Total</t>
  </si>
  <si>
    <t>Change</t>
  </si>
  <si>
    <t>UG</t>
  </si>
  <si>
    <t>Resident</t>
  </si>
  <si>
    <t>Non-Res.</t>
  </si>
  <si>
    <t>Grad</t>
  </si>
  <si>
    <t xml:space="preserve">All </t>
  </si>
  <si>
    <t>UG Res</t>
  </si>
  <si>
    <t>UG NonRes</t>
  </si>
  <si>
    <t>Grad Res</t>
  </si>
  <si>
    <t>Grad NonRes</t>
  </si>
  <si>
    <t>Enrollment Summary by School/College - Undergraduate</t>
  </si>
  <si>
    <t>Res  head count</t>
  </si>
  <si>
    <t xml:space="preserve"> Avg Hrs</t>
  </si>
  <si>
    <t>Non-Res head count</t>
  </si>
  <si>
    <t>Avg Hrs</t>
  </si>
  <si>
    <t>Arts &amp; Sciences</t>
  </si>
  <si>
    <t>Business</t>
  </si>
  <si>
    <t>CMCI</t>
  </si>
  <si>
    <t>Education</t>
  </si>
  <si>
    <t>Engineering</t>
  </si>
  <si>
    <t>Environmental Design</t>
  </si>
  <si>
    <t>Cross-College Programs</t>
  </si>
  <si>
    <t>Music</t>
  </si>
  <si>
    <t>Non-Degree</t>
  </si>
  <si>
    <t>Other CU campuses</t>
  </si>
  <si>
    <t>Total Undergraduate</t>
  </si>
  <si>
    <t>Enrollment Summary by School/College - Graduate</t>
  </si>
  <si>
    <t>Graduate School</t>
  </si>
  <si>
    <t>Law</t>
  </si>
  <si>
    <t>Total Graduate</t>
  </si>
  <si>
    <t>Total Undergrad and Grad</t>
  </si>
  <si>
    <t>Updated on BFP website?</t>
  </si>
  <si>
    <t>Revenue-Current Funds Budget</t>
  </si>
  <si>
    <t>Total State Funding:</t>
  </si>
  <si>
    <t>Federal Grants &amp; Contracts, excluding ICR*</t>
  </si>
  <si>
    <t>Sales &amp; Services of Educational Departments</t>
  </si>
  <si>
    <t>Revenue-By Fund Type</t>
  </si>
  <si>
    <t>Rates</t>
  </si>
  <si>
    <t>Sponsored Projects  (millions)</t>
  </si>
  <si>
    <t>Fiscal Year</t>
  </si>
  <si>
    <t xml:space="preserve"> # of Proposals </t>
  </si>
  <si>
    <t xml:space="preserve"> # of Awards </t>
  </si>
  <si>
    <t xml:space="preserve"> Direct Expenses </t>
  </si>
  <si>
    <t>ICR % change vs. prior year</t>
  </si>
  <si>
    <t>2016-2017</t>
  </si>
  <si>
    <t>2017-2018</t>
  </si>
  <si>
    <t>2018-2019</t>
  </si>
  <si>
    <t>2019-2020</t>
  </si>
  <si>
    <t>2020-2021</t>
  </si>
  <si>
    <t>2021-2022</t>
  </si>
  <si>
    <t>Professors &amp; Associate &amp; Assistant</t>
  </si>
  <si>
    <t>Graduate Part-time Instructor</t>
  </si>
  <si>
    <t>Instructors/Senior Instructors</t>
  </si>
  <si>
    <t>Teaching Asst</t>
  </si>
  <si>
    <t>Other (lecturer, visting, etc.)</t>
  </si>
  <si>
    <t>Research Asst</t>
  </si>
  <si>
    <t>Academic subtotal</t>
  </si>
  <si>
    <t>Graduate Asst</t>
  </si>
  <si>
    <t>Student Asst</t>
  </si>
  <si>
    <t>University Staff &amp; Officers</t>
  </si>
  <si>
    <t xml:space="preserve">Fringe Benefit Rates  </t>
  </si>
  <si>
    <t>University Staff/Research Faculty</t>
  </si>
  <si>
    <t xml:space="preserve">AY Tuition &amp; Mandatory Fees: Undergraduate </t>
  </si>
  <si>
    <t>Undergraduate tuition by program*</t>
  </si>
  <si>
    <t>Resident Full-time % change</t>
  </si>
  <si>
    <t>Non-resident full-time % change</t>
  </si>
  <si>
    <t>A&amp;S, Other (Base)</t>
  </si>
  <si>
    <t>Mandatory Fees</t>
  </si>
  <si>
    <t>Base tuition and fees</t>
  </si>
  <si>
    <t>Please note that the non resident tuition amount shown is for first year and transfer students only. This is not the rate for students with the tuition guarantee.</t>
  </si>
  <si>
    <t>AY Tuition &amp; Mandatory Fees: Graduate</t>
  </si>
  <si>
    <t>Graduate tuition by program*</t>
  </si>
  <si>
    <t>Non-resident Full-time % change</t>
  </si>
  <si>
    <t>Law JD</t>
  </si>
  <si>
    <t>Business PhD</t>
  </si>
  <si>
    <t>Base Tuition + Fees</t>
  </si>
  <si>
    <t>*See Bursar's website for Professional Masters rates, Int'l student rates, and more information.</t>
  </si>
  <si>
    <r>
      <t xml:space="preserve">Enrollment Summary  </t>
    </r>
    <r>
      <rPr>
        <b/>
        <i/>
        <sz val="8"/>
        <color theme="1"/>
        <rFont val="Calibri"/>
        <family val="2"/>
        <scheme val="minor"/>
      </rPr>
      <t>(reportable hrs)</t>
    </r>
  </si>
  <si>
    <t>Level</t>
  </si>
  <si>
    <t>Residency</t>
  </si>
  <si>
    <t>Non-resident</t>
  </si>
  <si>
    <t>School/College</t>
  </si>
  <si>
    <t>Resident headcount</t>
  </si>
  <si>
    <t>Resident average hours</t>
  </si>
  <si>
    <t>Non-resident headcount</t>
  </si>
  <si>
    <t>Non-resident average hours</t>
  </si>
  <si>
    <t>Total Undergraduate and Graduate</t>
  </si>
  <si>
    <t>2022-2023</t>
  </si>
  <si>
    <t>2023-2024</t>
  </si>
  <si>
    <t>2024-2025</t>
  </si>
  <si>
    <t>2025-2026</t>
  </si>
  <si>
    <t>2026-2027</t>
  </si>
  <si>
    <t>2027-2028</t>
  </si>
  <si>
    <t>2028-2029</t>
  </si>
  <si>
    <t>2029-2030</t>
  </si>
  <si>
    <t>CEAS/A&amp;S NS**</t>
  </si>
  <si>
    <t>Academic Year Tuition</t>
  </si>
  <si>
    <t>Resident-Full Time</t>
  </si>
  <si>
    <t>Non Res-Full Time</t>
  </si>
  <si>
    <t>&amp; Mandatory Fees</t>
  </si>
  <si>
    <t>21-22</t>
  </si>
  <si>
    <t>22-23</t>
  </si>
  <si>
    <t>% chg</t>
  </si>
  <si>
    <t>Undergrad Tuition*</t>
  </si>
  <si>
    <t>(Incoming Student Share)</t>
  </si>
  <si>
    <t>(Incoming Undergraduate)</t>
  </si>
  <si>
    <t>CEAS/ A&amp;S NS***</t>
  </si>
  <si>
    <t>Base Tuit + Fees**</t>
  </si>
  <si>
    <t>Grad Tuition*</t>
  </si>
  <si>
    <t>Base Tuit + Fees</t>
  </si>
  <si>
    <t>https://www.colorado.edu/bursar/undergraduate-costs-by-tier</t>
  </si>
  <si>
    <t>Undergrad tuition moved to tiered system in 22-23</t>
  </si>
  <si>
    <t>CEAS/A&amp;S NS</t>
  </si>
  <si>
    <t xml:space="preserve">Music </t>
  </si>
  <si>
    <t>A&amp;S (Base)</t>
  </si>
  <si>
    <t>23-24</t>
  </si>
  <si>
    <t>24-25</t>
  </si>
  <si>
    <t>25-26</t>
  </si>
  <si>
    <t>26-27</t>
  </si>
  <si>
    <t>27-28</t>
  </si>
  <si>
    <t>28-29</t>
  </si>
  <si>
    <t>29-30</t>
  </si>
  <si>
    <t>Undergrad Non-Res</t>
  </si>
  <si>
    <t>Undergrad Res</t>
  </si>
  <si>
    <t>Business PHD</t>
  </si>
  <si>
    <t>Grad Resident</t>
  </si>
  <si>
    <t>Grad Non-Res</t>
  </si>
  <si>
    <t>Fees per Semester</t>
  </si>
  <si>
    <t>Undergrad Nonres</t>
  </si>
  <si>
    <t>Grad Nonres</t>
  </si>
  <si>
    <t>1-Res</t>
  </si>
  <si>
    <t>2-Non-Res</t>
  </si>
  <si>
    <t>HeadCount</t>
  </si>
  <si>
    <t/>
  </si>
  <si>
    <t>Avg
Hours</t>
  </si>
  <si>
    <t>College</t>
  </si>
  <si>
    <t>01-Arts &amp; Sciences</t>
  </si>
  <si>
    <t>02-Business</t>
  </si>
  <si>
    <t>03-CMCI</t>
  </si>
  <si>
    <t>04-Education</t>
  </si>
  <si>
    <t>05-Engineering</t>
  </si>
  <si>
    <t>06-Environmental Design</t>
  </si>
  <si>
    <t>07-Program in Exploratory Studies</t>
  </si>
  <si>
    <t>09-Music</t>
  </si>
  <si>
    <t>10-Non-Degree</t>
  </si>
  <si>
    <t>11-Other CU campuses</t>
  </si>
  <si>
    <t>Level 2-Graduate</t>
  </si>
  <si>
    <t>07-Grad School</t>
  </si>
  <si>
    <t>08-Law</t>
  </si>
  <si>
    <t>CU Boulder FY 2024-2025 Campus Management Information and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</si>
</sst>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quot;$&quot;#,##0.0"/>
    <numFmt numFmtId="168" formatCode="&quot;$&quot;#,##0.0_);[Red]\(&quot;$&quot;#,##0.0\)"/>
    <numFmt numFmtId="169" formatCode="_(&quot;$&quot;* #,##0.0_);_(&quot;$&quot;* \(#,##0.0\);_(&quot;$&quot;* &quot;-&quot;??_);_(@_)"/>
    <numFmt numFmtId="170" formatCode="###,###,###,##0"/>
    <numFmt numFmtId="171" formatCode="#0.0%;\(#0.0%\)"/>
    <numFmt numFmtId="172" formatCode="0.0"/>
    <numFmt numFmtId="173" formatCode="&quot;$&quot;#,##0"/>
    <numFmt numFmtId="174" formatCode="##,###,##0"/>
    <numFmt numFmtId="175" formatCode="#####0.0"/>
  </numFmts>
  <fonts count="45"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8"/>
      <name val="Arial"/>
      <family val="2"/>
    </font>
    <font>
      <u/>
      <sz val="11"/>
      <color theme="10"/>
      <name val="Calibri"/>
      <family val="2"/>
      <scheme val="minor"/>
    </font>
    <font>
      <sz val="12"/>
      <color theme="1"/>
      <name val="Arial"/>
      <family val="2"/>
    </font>
    <font>
      <b/>
      <sz val="8"/>
      <name val="Arial"/>
      <family val="2"/>
    </font>
    <font>
      <b/>
      <sz val="8"/>
      <color rgb="FF000000"/>
      <name val="Calibri"/>
      <family val="2"/>
      <scheme val="minor"/>
    </font>
    <font>
      <sz val="8"/>
      <color rgb="FF000000"/>
      <name val="Calibri"/>
      <family val="2"/>
      <scheme val="minor"/>
    </font>
    <font>
      <i/>
      <sz val="7.5"/>
      <color rgb="FF000000"/>
      <name val="Calibri"/>
      <family val="2"/>
      <scheme val="minor"/>
    </font>
    <font>
      <sz val="8"/>
      <color rgb="FF000000"/>
      <name val="Calibri"/>
      <family val="2"/>
    </font>
    <font>
      <sz val="8"/>
      <name val="Calibri"/>
      <family val="2"/>
      <scheme val="minor"/>
    </font>
    <font>
      <sz val="7.5"/>
      <color rgb="FF000000"/>
      <name val="Calibri"/>
      <family val="2"/>
      <scheme val="minor"/>
    </font>
    <font>
      <sz val="11"/>
      <color rgb="FF000000"/>
      <name val="Calibri"/>
      <family val="2"/>
      <scheme val="minor"/>
    </font>
    <font>
      <sz val="11"/>
      <name val="Calibri"/>
      <family val="2"/>
      <scheme val="minor"/>
    </font>
    <font>
      <b/>
      <sz val="9"/>
      <color theme="1"/>
      <name val="Arial"/>
      <family val="2"/>
    </font>
    <font>
      <b/>
      <sz val="9"/>
      <color rgb="FF000000"/>
      <name val="Arial"/>
      <family val="2"/>
    </font>
    <font>
      <b/>
      <sz val="9"/>
      <color rgb="FF000000"/>
      <name val="Arial"/>
      <family val="2"/>
    </font>
    <font>
      <b/>
      <i/>
      <sz val="8"/>
      <color theme="1"/>
      <name val="Arial"/>
      <family val="2"/>
    </font>
    <font>
      <sz val="11"/>
      <color rgb="FFFF0000"/>
      <name val="Calibri"/>
      <family val="2"/>
      <scheme val="minor"/>
    </font>
    <font>
      <b/>
      <sz val="11"/>
      <color theme="1"/>
      <name val="Calibri"/>
      <family val="2"/>
      <scheme val="minor"/>
    </font>
    <font>
      <sz val="8"/>
      <color theme="1"/>
      <name val="Calibri"/>
      <family val="2"/>
      <scheme val="minor"/>
    </font>
    <font>
      <sz val="10"/>
      <name val="Arial"/>
      <family val="2"/>
    </font>
    <font>
      <sz val="10"/>
      <color rgb="FFFF0000"/>
      <name val="Arial"/>
      <family val="2"/>
    </font>
    <font>
      <i/>
      <sz val="11"/>
      <color theme="1"/>
      <name val="Calibri"/>
      <family val="2"/>
      <scheme val="minor"/>
    </font>
    <font>
      <sz val="8"/>
      <color theme="3" tint="0.59999389629810485"/>
      <name val="Arial"/>
      <family val="2"/>
    </font>
    <font>
      <b/>
      <sz val="10"/>
      <color rgb="FFFF0000"/>
      <name val="Arial"/>
      <family val="2"/>
    </font>
    <font>
      <b/>
      <sz val="8"/>
      <color theme="1"/>
      <name val="Calibri"/>
      <family val="2"/>
      <scheme val="minor"/>
    </font>
    <font>
      <u/>
      <sz val="11"/>
      <color rgb="FFFF0000"/>
      <name val="Calibri"/>
      <family val="2"/>
      <scheme val="minor"/>
    </font>
    <font>
      <u/>
      <sz val="8"/>
      <color theme="1"/>
      <name val="Calibri"/>
      <family val="2"/>
      <scheme val="minor"/>
    </font>
    <font>
      <b/>
      <sz val="8"/>
      <color rgb="FF0D0D0D"/>
      <name val="Calibri"/>
      <family val="2"/>
      <scheme val="minor"/>
    </font>
    <font>
      <sz val="8"/>
      <color rgb="FF0D0D0D"/>
      <name val="Calibri"/>
      <family val="2"/>
      <scheme val="minor"/>
    </font>
    <font>
      <sz val="7"/>
      <color rgb="FF000000"/>
      <name val="Calibri"/>
      <family val="2"/>
      <scheme val="minor"/>
    </font>
    <font>
      <i/>
      <sz val="7"/>
      <color theme="1"/>
      <name val="Calibri"/>
      <family val="2"/>
      <scheme val="minor"/>
    </font>
    <font>
      <sz val="6"/>
      <color theme="1"/>
      <name val="Calibri"/>
      <family val="2"/>
      <scheme val="minor"/>
    </font>
    <font>
      <b/>
      <i/>
      <sz val="8"/>
      <color theme="1"/>
      <name val="Calibri"/>
      <family val="2"/>
      <scheme val="minor"/>
    </font>
    <font>
      <b/>
      <sz val="8"/>
      <name val="Calibri"/>
      <family val="2"/>
      <scheme val="minor"/>
    </font>
    <font>
      <sz val="8"/>
      <color theme="4" tint="0.39997558519241921"/>
      <name val="Arial"/>
      <family val="2"/>
    </font>
    <font>
      <u/>
      <sz val="8"/>
      <name val="Arial"/>
      <family val="2"/>
    </font>
    <font>
      <sz val="7"/>
      <name val="Arial"/>
      <family val="2"/>
    </font>
    <font>
      <sz val="6.5"/>
      <name val="Arial"/>
      <family val="2"/>
    </font>
    <font>
      <sz val="6.75"/>
      <name val="Arial"/>
      <family val="2"/>
    </font>
    <font>
      <u/>
      <sz val="8"/>
      <name val="Calibri"/>
      <family val="2"/>
      <scheme val="minor"/>
    </font>
    <font>
      <b/>
      <sz val="9"/>
      <color rgb="FF000000"/>
      <name val="arial"/>
    </font>
  </fonts>
  <fills count="9">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4D4D4"/>
        <bgColor indexed="64"/>
      </patternFill>
    </fill>
    <fill>
      <patternFill patternType="solid">
        <fgColor rgb="FFFFFFFF"/>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right style="medium">
        <color rgb="FF000000"/>
      </right>
      <top style="medium">
        <color indexed="64"/>
      </top>
      <bottom style="medium">
        <color indexed="64"/>
      </bottom>
      <diagonal/>
    </border>
    <border>
      <left/>
      <right style="thin">
        <color indexed="64"/>
      </right>
      <top style="thin">
        <color indexed="64"/>
      </top>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cellStyleXfs>
  <cellXfs count="500">
    <xf numFmtId="0" fontId="0" fillId="0" borderId="0" xfId="0"/>
    <xf numFmtId="0" fontId="2" fillId="0" borderId="1" xfId="0" quotePrefix="1" applyFont="1" applyBorder="1" applyAlignment="1">
      <alignment horizontal="left"/>
    </xf>
    <xf numFmtId="0" fontId="2" fillId="0" borderId="2" xfId="0" quotePrefix="1" applyFont="1" applyBorder="1" applyAlignment="1">
      <alignment horizontal="center" wrapText="1"/>
    </xf>
    <xf numFmtId="0" fontId="3" fillId="0" borderId="2" xfId="0" applyFont="1" applyBorder="1" applyAlignment="1">
      <alignment horizontal="center"/>
    </xf>
    <xf numFmtId="3" fontId="3" fillId="0" borderId="3" xfId="0" applyNumberFormat="1" applyFont="1" applyBorder="1" applyAlignment="1">
      <alignment horizontal="right" wrapText="1"/>
    </xf>
    <xf numFmtId="164" fontId="4" fillId="0" borderId="0" xfId="1" applyNumberFormat="1" applyFont="1" applyFill="1" applyBorder="1" applyAlignment="1">
      <alignment horizontal="right"/>
    </xf>
    <xf numFmtId="165" fontId="4" fillId="0" borderId="4" xfId="0" applyNumberFormat="1" applyFont="1" applyBorder="1" applyAlignment="1">
      <alignment horizontal="right"/>
    </xf>
    <xf numFmtId="3" fontId="3" fillId="0" borderId="4" xfId="0" applyNumberFormat="1" applyFont="1" applyBorder="1" applyAlignment="1">
      <alignment horizontal="right" wrapText="1"/>
    </xf>
    <xf numFmtId="0" fontId="3" fillId="0" borderId="4" xfId="0" applyFont="1" applyBorder="1" applyAlignment="1">
      <alignment horizontal="right"/>
    </xf>
    <xf numFmtId="3" fontId="3" fillId="0" borderId="4" xfId="0" quotePrefix="1" applyNumberFormat="1" applyFont="1" applyBorder="1" applyAlignment="1">
      <alignment horizontal="right" wrapText="1"/>
    </xf>
    <xf numFmtId="3" fontId="3" fillId="0" borderId="5" xfId="0" applyNumberFormat="1" applyFont="1" applyBorder="1" applyAlignment="1">
      <alignment horizontal="right" wrapText="1"/>
    </xf>
    <xf numFmtId="3" fontId="2" fillId="0" borderId="2" xfId="0" quotePrefix="1" applyNumberFormat="1" applyFont="1" applyBorder="1" applyAlignment="1">
      <alignment horizontal="right" wrapText="1"/>
    </xf>
    <xf numFmtId="164" fontId="4" fillId="0" borderId="6" xfId="1" applyNumberFormat="1" applyFont="1" applyFill="1" applyBorder="1" applyAlignment="1">
      <alignment horizontal="right"/>
    </xf>
    <xf numFmtId="165" fontId="4" fillId="0" borderId="2" xfId="0" applyNumberFormat="1" applyFont="1" applyBorder="1" applyAlignment="1">
      <alignment horizontal="right"/>
    </xf>
    <xf numFmtId="0" fontId="2" fillId="0" borderId="1" xfId="0" applyFont="1" applyBorder="1" applyAlignment="1">
      <alignment horizontal="left"/>
    </xf>
    <xf numFmtId="164" fontId="3" fillId="0" borderId="6" xfId="1" applyNumberFormat="1" applyFont="1" applyFill="1" applyBorder="1" applyAlignment="1">
      <alignment horizontal="center"/>
    </xf>
    <xf numFmtId="0" fontId="4" fillId="0" borderId="2" xfId="0" applyFont="1" applyBorder="1" applyAlignment="1">
      <alignment horizontal="center"/>
    </xf>
    <xf numFmtId="0" fontId="3" fillId="0" borderId="7" xfId="0" applyFont="1" applyBorder="1" applyAlignment="1">
      <alignment horizontal="right"/>
    </xf>
    <xf numFmtId="3" fontId="2" fillId="0" borderId="1" xfId="0" quotePrefix="1" applyNumberFormat="1" applyFont="1" applyBorder="1" applyAlignment="1">
      <alignment horizontal="right" wrapText="1"/>
    </xf>
    <xf numFmtId="3" fontId="3" fillId="0" borderId="0" xfId="0" applyNumberFormat="1" applyFont="1" applyAlignment="1">
      <alignment horizontal="right" wrapText="1"/>
    </xf>
    <xf numFmtId="165" fontId="4" fillId="0" borderId="0" xfId="0" applyNumberFormat="1" applyFont="1" applyAlignment="1">
      <alignment horizontal="right"/>
    </xf>
    <xf numFmtId="0" fontId="3" fillId="0" borderId="0" xfId="0" applyFont="1" applyAlignment="1">
      <alignment horizontal="right"/>
    </xf>
    <xf numFmtId="3" fontId="2" fillId="0" borderId="0" xfId="0" quotePrefix="1" applyNumberFormat="1" applyFont="1" applyAlignment="1">
      <alignment horizontal="right" wrapText="1"/>
    </xf>
    <xf numFmtId="0" fontId="3" fillId="0" borderId="0" xfId="0" applyFont="1" applyAlignment="1">
      <alignment horizontal="center"/>
    </xf>
    <xf numFmtId="0" fontId="2" fillId="0" borderId="2" xfId="0" quotePrefix="1" applyFont="1" applyBorder="1" applyAlignment="1">
      <alignment horizontal="left"/>
    </xf>
    <xf numFmtId="3" fontId="3" fillId="0" borderId="2" xfId="0" applyNumberFormat="1" applyFont="1" applyBorder="1" applyAlignment="1">
      <alignment horizontal="right" wrapText="1"/>
    </xf>
    <xf numFmtId="0" fontId="3" fillId="0" borderId="2" xfId="0" applyFont="1" applyBorder="1" applyAlignment="1">
      <alignment horizontal="right"/>
    </xf>
    <xf numFmtId="3" fontId="3" fillId="0" borderId="2" xfId="0" quotePrefix="1" applyNumberFormat="1" applyFont="1" applyBorder="1" applyAlignment="1">
      <alignment horizontal="right" wrapText="1"/>
    </xf>
    <xf numFmtId="164" fontId="3" fillId="2" borderId="2" xfId="1" quotePrefix="1" applyNumberFormat="1" applyFont="1" applyFill="1" applyBorder="1" applyAlignment="1">
      <alignment horizontal="center" wrapText="1"/>
    </xf>
    <xf numFmtId="164" fontId="4" fillId="2" borderId="2" xfId="1" applyNumberFormat="1" applyFont="1" applyFill="1" applyBorder="1" applyAlignment="1">
      <alignment horizontal="right"/>
    </xf>
    <xf numFmtId="164" fontId="4" fillId="2" borderId="0" xfId="1" applyNumberFormat="1" applyFont="1" applyFill="1" applyBorder="1" applyAlignment="1">
      <alignment horizontal="right"/>
    </xf>
    <xf numFmtId="0" fontId="3" fillId="0" borderId="8" xfId="0" applyFont="1" applyBorder="1" applyAlignment="1">
      <alignment horizontal="right"/>
    </xf>
    <xf numFmtId="164" fontId="4" fillId="2" borderId="9" xfId="1" applyNumberFormat="1" applyFont="1" applyFill="1" applyBorder="1" applyAlignment="1">
      <alignment horizontal="right"/>
    </xf>
    <xf numFmtId="165" fontId="4" fillId="0" borderId="3" xfId="0" applyNumberFormat="1" applyFont="1" applyBorder="1" applyAlignment="1">
      <alignment horizontal="right"/>
    </xf>
    <xf numFmtId="0" fontId="2" fillId="0" borderId="1" xfId="0" quotePrefix="1" applyFont="1" applyBorder="1" applyAlignment="1">
      <alignment horizontal="center" wrapText="1"/>
    </xf>
    <xf numFmtId="0" fontId="3" fillId="0" borderId="2" xfId="0" applyFont="1" applyBorder="1" applyAlignment="1">
      <alignment horizontal="center" wrapText="1"/>
    </xf>
    <xf numFmtId="0" fontId="3" fillId="0" borderId="10" xfId="0" applyFont="1" applyBorder="1" applyAlignment="1">
      <alignment horizontal="center" wrapText="1"/>
    </xf>
    <xf numFmtId="0" fontId="3" fillId="0" borderId="3" xfId="0" applyFont="1" applyBorder="1" applyAlignment="1">
      <alignment horizontal="right"/>
    </xf>
    <xf numFmtId="165" fontId="3" fillId="0" borderId="4" xfId="0" applyNumberFormat="1" applyFont="1" applyBorder="1" applyAlignment="1">
      <alignment horizontal="right"/>
    </xf>
    <xf numFmtId="0" fontId="3" fillId="0" borderId="5" xfId="0" applyFont="1" applyBorder="1" applyAlignment="1">
      <alignment horizontal="right"/>
    </xf>
    <xf numFmtId="165" fontId="3" fillId="0" borderId="5" xfId="0" applyNumberFormat="1" applyFont="1" applyBorder="1" applyAlignment="1">
      <alignment horizontal="right"/>
    </xf>
    <xf numFmtId="0" fontId="5" fillId="0" borderId="0" xfId="3"/>
    <xf numFmtId="0" fontId="6" fillId="0" borderId="0" xfId="0" applyFont="1" applyAlignment="1">
      <alignment horizontal="left"/>
    </xf>
    <xf numFmtId="0" fontId="7" fillId="0" borderId="2" xfId="0" quotePrefix="1" applyFont="1" applyBorder="1" applyAlignment="1">
      <alignment horizontal="center"/>
    </xf>
    <xf numFmtId="0" fontId="4" fillId="0" borderId="3" xfId="0" applyFont="1" applyBorder="1" applyAlignment="1">
      <alignment horizontal="center"/>
    </xf>
    <xf numFmtId="0" fontId="4" fillId="0" borderId="3" xfId="0" quotePrefix="1" applyFont="1" applyBorder="1" applyAlignment="1">
      <alignment horizontal="center"/>
    </xf>
    <xf numFmtId="0" fontId="3" fillId="0" borderId="7" xfId="0" applyFont="1" applyBorder="1" applyAlignment="1">
      <alignment horizontal="center"/>
    </xf>
    <xf numFmtId="0" fontId="3" fillId="0" borderId="12" xfId="0" applyFont="1" applyBorder="1" applyAlignment="1">
      <alignment horizontal="center"/>
    </xf>
    <xf numFmtId="0" fontId="2" fillId="0" borderId="1" xfId="0" quotePrefix="1" applyFont="1" applyBorder="1" applyAlignment="1">
      <alignment horizontal="center"/>
    </xf>
    <xf numFmtId="0" fontId="2" fillId="0" borderId="6" xfId="0" quotePrefix="1" applyFont="1" applyBorder="1" applyAlignment="1">
      <alignment horizontal="center"/>
    </xf>
    <xf numFmtId="0" fontId="2" fillId="0" borderId="10" xfId="0" quotePrefix="1" applyFont="1" applyBorder="1" applyAlignment="1">
      <alignment horizontal="center"/>
    </xf>
    <xf numFmtId="166" fontId="3" fillId="0" borderId="2" xfId="0" quotePrefix="1" applyNumberFormat="1" applyFont="1" applyBorder="1" applyAlignment="1">
      <alignment horizontal="center" wrapText="1"/>
    </xf>
    <xf numFmtId="0" fontId="3" fillId="0" borderId="2" xfId="0" quotePrefix="1" applyFont="1" applyBorder="1" applyAlignment="1">
      <alignment horizontal="center" wrapText="1"/>
    </xf>
    <xf numFmtId="49" fontId="3" fillId="0" borderId="2" xfId="0" quotePrefix="1" applyNumberFormat="1" applyFont="1" applyBorder="1" applyAlignment="1">
      <alignment horizontal="center"/>
    </xf>
    <xf numFmtId="3" fontId="3" fillId="0" borderId="2" xfId="0" applyNumberFormat="1" applyFont="1" applyBorder="1"/>
    <xf numFmtId="167" fontId="3" fillId="0" borderId="2" xfId="1" applyNumberFormat="1" applyFont="1" applyFill="1" applyBorder="1" applyAlignment="1"/>
    <xf numFmtId="165" fontId="3" fillId="0" borderId="2" xfId="2" applyNumberFormat="1" applyFont="1" applyFill="1" applyBorder="1" applyAlignment="1"/>
    <xf numFmtId="167" fontId="3" fillId="0" borderId="2" xfId="1" quotePrefix="1" applyNumberFormat="1" applyFont="1" applyFill="1" applyBorder="1" applyAlignment="1"/>
    <xf numFmtId="0" fontId="3" fillId="0" borderId="2" xfId="0" applyFont="1" applyBorder="1" applyAlignment="1">
      <alignment horizontal="center" vertical="center"/>
    </xf>
    <xf numFmtId="3" fontId="3" fillId="3" borderId="2" xfId="0" applyNumberFormat="1" applyFont="1" applyFill="1" applyBorder="1" applyAlignment="1">
      <alignment horizontal="right" vertical="center" wrapText="1"/>
    </xf>
    <xf numFmtId="168" fontId="3" fillId="3" borderId="2" xfId="0" applyNumberFormat="1" applyFont="1" applyFill="1" applyBorder="1" applyAlignment="1">
      <alignment horizontal="right" vertical="center" wrapText="1"/>
    </xf>
    <xf numFmtId="3" fontId="3" fillId="0" borderId="2" xfId="0" applyNumberFormat="1" applyFont="1" applyBorder="1" applyAlignment="1">
      <alignment horizontal="right" vertical="center" wrapText="1"/>
    </xf>
    <xf numFmtId="167" fontId="3" fillId="0" borderId="2" xfId="0" applyNumberFormat="1" applyFont="1" applyBorder="1"/>
    <xf numFmtId="0" fontId="2" fillId="0" borderId="2" xfId="0" quotePrefix="1" applyFont="1" applyBorder="1" applyAlignment="1">
      <alignment horizontal="center"/>
    </xf>
    <xf numFmtId="0" fontId="2" fillId="0" borderId="2" xfId="0" applyFont="1" applyBorder="1"/>
    <xf numFmtId="0" fontId="2" fillId="0" borderId="3"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9" fillId="0" borderId="17" xfId="0" applyFont="1" applyBorder="1" applyAlignment="1">
      <alignment horizontal="left" vertical="center"/>
    </xf>
    <xf numFmtId="0" fontId="10" fillId="0" borderId="19" xfId="0" applyFont="1" applyBorder="1" applyAlignment="1">
      <alignment horizontal="center" vertical="center" wrapText="1"/>
    </xf>
    <xf numFmtId="0" fontId="9" fillId="0" borderId="21" xfId="0" applyFont="1" applyBorder="1" applyAlignment="1">
      <alignment horizontal="left" vertical="center"/>
    </xf>
    <xf numFmtId="0" fontId="11" fillId="0" borderId="14" xfId="0" applyFont="1" applyBorder="1" applyAlignment="1">
      <alignment vertical="center"/>
    </xf>
    <xf numFmtId="0" fontId="11" fillId="0" borderId="17" xfId="0" applyFont="1" applyBorder="1" applyAlignment="1">
      <alignment vertical="center"/>
    </xf>
    <xf numFmtId="0" fontId="11" fillId="0" borderId="21" xfId="0" applyFont="1" applyBorder="1" applyAlignment="1">
      <alignment vertical="center"/>
    </xf>
    <xf numFmtId="0" fontId="0" fillId="2" borderId="0" xfId="0" applyFill="1"/>
    <xf numFmtId="0" fontId="0" fillId="0" borderId="0" xfId="0" applyAlignment="1">
      <alignment wrapText="1"/>
    </xf>
    <xf numFmtId="165" fontId="4" fillId="2" borderId="11" xfId="0" applyNumberFormat="1" applyFont="1" applyFill="1" applyBorder="1" applyAlignment="1">
      <alignment horizontal="center"/>
    </xf>
    <xf numFmtId="165" fontId="4" fillId="2" borderId="13" xfId="0" applyNumberFormat="1" applyFont="1" applyFill="1" applyBorder="1" applyAlignment="1">
      <alignment horizontal="center"/>
    </xf>
    <xf numFmtId="14" fontId="3" fillId="0" borderId="3" xfId="0" quotePrefix="1" applyNumberFormat="1" applyFont="1" applyBorder="1" applyAlignment="1">
      <alignment horizontal="center"/>
    </xf>
    <xf numFmtId="14" fontId="3" fillId="0" borderId="4" xfId="0" quotePrefix="1" applyNumberFormat="1" applyFont="1" applyBorder="1" applyAlignment="1">
      <alignment horizontal="center"/>
    </xf>
    <xf numFmtId="14" fontId="3" fillId="0" borderId="5" xfId="0" quotePrefix="1" applyNumberFormat="1" applyFont="1" applyBorder="1" applyAlignment="1">
      <alignment horizontal="center"/>
    </xf>
    <xf numFmtId="0" fontId="0" fillId="0" borderId="2" xfId="0" applyBorder="1"/>
    <xf numFmtId="165" fontId="3" fillId="0" borderId="2" xfId="2" applyNumberFormat="1" applyFont="1" applyBorder="1"/>
    <xf numFmtId="169" fontId="3" fillId="0" borderId="2" xfId="1" applyNumberFormat="1" applyFont="1" applyBorder="1"/>
    <xf numFmtId="0" fontId="0" fillId="2" borderId="2" xfId="0" applyFill="1" applyBorder="1"/>
    <xf numFmtId="10" fontId="3" fillId="0" borderId="4" xfId="0" applyNumberFormat="1" applyFont="1" applyBorder="1"/>
    <xf numFmtId="10" fontId="3" fillId="0" borderId="5" xfId="0" applyNumberFormat="1" applyFont="1" applyBorder="1"/>
    <xf numFmtId="10" fontId="0" fillId="2" borderId="2" xfId="0" applyNumberFormat="1" applyFill="1" applyBorder="1" applyAlignment="1">
      <alignment horizontal="right"/>
    </xf>
    <xf numFmtId="10" fontId="0" fillId="2" borderId="2" xfId="2" applyNumberFormat="1" applyFont="1" applyFill="1" applyBorder="1" applyAlignment="1">
      <alignment horizontal="right"/>
    </xf>
    <xf numFmtId="49" fontId="0" fillId="0" borderId="2" xfId="0" applyNumberFormat="1" applyBorder="1"/>
    <xf numFmtId="6" fontId="0" fillId="0" borderId="2" xfId="0" applyNumberFormat="1" applyBorder="1"/>
    <xf numFmtId="166" fontId="0" fillId="0" borderId="2" xfId="4" applyNumberFormat="1" applyFont="1" applyBorder="1"/>
    <xf numFmtId="6" fontId="0" fillId="2" borderId="2" xfId="0" applyNumberFormat="1" applyFill="1" applyBorder="1" applyAlignment="1">
      <alignment wrapText="1"/>
    </xf>
    <xf numFmtId="164" fontId="0" fillId="2" borderId="2" xfId="1" applyNumberFormat="1" applyFont="1" applyFill="1" applyBorder="1" applyAlignment="1">
      <alignment wrapText="1"/>
    </xf>
    <xf numFmtId="166" fontId="0" fillId="2" borderId="2" xfId="4" applyNumberFormat="1" applyFont="1" applyFill="1" applyBorder="1"/>
    <xf numFmtId="165" fontId="0" fillId="0" borderId="2" xfId="2" applyNumberFormat="1" applyFont="1" applyBorder="1"/>
    <xf numFmtId="168" fontId="10" fillId="0" borderId="0" xfId="0" applyNumberFormat="1" applyFont="1" applyAlignment="1">
      <alignment horizontal="center" vertical="center" wrapText="1"/>
    </xf>
    <xf numFmtId="168" fontId="10" fillId="0" borderId="23" xfId="0" applyNumberFormat="1" applyFont="1" applyBorder="1" applyAlignment="1">
      <alignment horizontal="center" vertical="center" wrapText="1"/>
    </xf>
    <xf numFmtId="0" fontId="8" fillId="4" borderId="18" xfId="0" applyFont="1" applyFill="1" applyBorder="1" applyAlignment="1">
      <alignment horizontal="center" vertical="center" wrapText="1"/>
    </xf>
    <xf numFmtId="0" fontId="9" fillId="0" borderId="17" xfId="0" applyFont="1" applyBorder="1" applyAlignment="1">
      <alignment horizontal="center" vertical="center" wrapText="1"/>
    </xf>
    <xf numFmtId="165" fontId="13" fillId="0" borderId="21" xfId="2" applyNumberFormat="1" applyFont="1" applyFill="1" applyBorder="1" applyAlignment="1">
      <alignment horizontal="center" vertical="center" wrapText="1"/>
    </xf>
    <xf numFmtId="9" fontId="9" fillId="0" borderId="17" xfId="2" applyFont="1" applyFill="1" applyBorder="1" applyAlignment="1">
      <alignment horizontal="center" vertical="center" wrapText="1"/>
    </xf>
    <xf numFmtId="167" fontId="13" fillId="0" borderId="21" xfId="1" applyNumberFormat="1" applyFont="1" applyFill="1" applyBorder="1" applyAlignment="1">
      <alignment horizontal="center" vertical="center" wrapText="1"/>
    </xf>
    <xf numFmtId="0" fontId="10" fillId="0" borderId="17" xfId="0" applyFont="1" applyBorder="1" applyAlignment="1">
      <alignment horizontal="center" vertical="center" wrapText="1"/>
    </xf>
    <xf numFmtId="0" fontId="8" fillId="4" borderId="15" xfId="0" applyFont="1" applyFill="1" applyBorder="1" applyAlignment="1">
      <alignment horizontal="center" vertical="center"/>
    </xf>
    <xf numFmtId="0" fontId="8" fillId="4" borderId="24" xfId="0" applyFont="1" applyFill="1" applyBorder="1" applyAlignment="1">
      <alignment horizontal="center" vertical="center" wrapText="1"/>
    </xf>
    <xf numFmtId="0" fontId="8" fillId="4" borderId="2" xfId="0" applyFont="1" applyFill="1" applyBorder="1" applyAlignment="1">
      <alignment horizontal="center" vertical="center" wrapText="1"/>
    </xf>
    <xf numFmtId="165" fontId="14" fillId="2" borderId="2" xfId="0" applyNumberFormat="1" applyFont="1" applyFill="1" applyBorder="1" applyAlignment="1">
      <alignment horizontal="center" vertical="center" wrapText="1"/>
    </xf>
    <xf numFmtId="165" fontId="15" fillId="2" borderId="2" xfId="2" applyNumberFormat="1" applyFont="1" applyFill="1" applyBorder="1" applyAlignment="1">
      <alignment horizontal="center" wrapText="1"/>
    </xf>
    <xf numFmtId="0" fontId="0" fillId="2" borderId="2" xfId="0" applyFill="1" applyBorder="1" applyAlignment="1">
      <alignment horizontal="center"/>
    </xf>
    <xf numFmtId="167" fontId="13" fillId="0" borderId="22" xfId="1" applyNumberFormat="1" applyFont="1" applyFill="1" applyBorder="1" applyAlignment="1">
      <alignment horizontal="center" vertical="center" wrapText="1"/>
    </xf>
    <xf numFmtId="49" fontId="12" fillId="0" borderId="14" xfId="0" applyNumberFormat="1" applyFont="1" applyBorder="1" applyAlignment="1">
      <alignment horizontal="center" wrapText="1"/>
    </xf>
    <xf numFmtId="49" fontId="12" fillId="0" borderId="17" xfId="0" applyNumberFormat="1" applyFont="1" applyBorder="1" applyAlignment="1">
      <alignment horizontal="center" wrapText="1"/>
    </xf>
    <xf numFmtId="49" fontId="0" fillId="0" borderId="2" xfId="0" applyNumberFormat="1" applyBorder="1" applyAlignment="1">
      <alignment horizontal="center"/>
    </xf>
    <xf numFmtId="0" fontId="5" fillId="0" borderId="0" xfId="3" applyFill="1" applyBorder="1" applyAlignment="1" applyProtection="1"/>
    <xf numFmtId="165" fontId="15" fillId="2" borderId="2" xfId="0" applyNumberFormat="1" applyFont="1" applyFill="1" applyBorder="1" applyAlignment="1">
      <alignment horizontal="center" vertical="center" wrapText="1"/>
    </xf>
    <xf numFmtId="165" fontId="15" fillId="2" borderId="2" xfId="0" applyNumberFormat="1" applyFont="1" applyFill="1" applyBorder="1" applyAlignment="1">
      <alignment vertical="center" wrapText="1"/>
    </xf>
    <xf numFmtId="165" fontId="9" fillId="0" borderId="20" xfId="0" applyNumberFormat="1" applyFont="1" applyBorder="1" applyAlignment="1">
      <alignment horizontal="center" vertical="center" wrapText="1"/>
    </xf>
    <xf numFmtId="0" fontId="2" fillId="0" borderId="3" xfId="0" applyFont="1" applyBorder="1"/>
    <xf numFmtId="0" fontId="2" fillId="0" borderId="3" xfId="0" applyFont="1" applyBorder="1" applyAlignment="1">
      <alignment horizontal="center"/>
    </xf>
    <xf numFmtId="170" fontId="17" fillId="0" borderId="2" xfId="0" applyNumberFormat="1" applyFont="1" applyBorder="1" applyAlignment="1">
      <alignment horizontal="right"/>
    </xf>
    <xf numFmtId="171" fontId="16" fillId="0" borderId="2" xfId="0" applyNumberFormat="1" applyFont="1" applyBorder="1" applyAlignment="1">
      <alignment horizontal="right"/>
    </xf>
    <xf numFmtId="0" fontId="2" fillId="0" borderId="2" xfId="0" applyFont="1" applyBorder="1" applyAlignment="1">
      <alignment horizontal="center"/>
    </xf>
    <xf numFmtId="170" fontId="16" fillId="2" borderId="2" xfId="0" applyNumberFormat="1" applyFont="1" applyFill="1" applyBorder="1" applyAlignment="1">
      <alignment horizontal="right"/>
    </xf>
    <xf numFmtId="170" fontId="17" fillId="2" borderId="2" xfId="0" applyNumberFormat="1" applyFont="1" applyFill="1" applyBorder="1" applyAlignment="1">
      <alignment horizontal="right"/>
    </xf>
    <xf numFmtId="170" fontId="18" fillId="2" borderId="2" xfId="0" applyNumberFormat="1" applyFont="1" applyFill="1" applyBorder="1" applyAlignment="1">
      <alignment horizontal="right"/>
    </xf>
    <xf numFmtId="3" fontId="3" fillId="0" borderId="3" xfId="0" quotePrefix="1" applyNumberFormat="1" applyFont="1" applyBorder="1" applyAlignment="1">
      <alignment horizontal="right"/>
    </xf>
    <xf numFmtId="0" fontId="3" fillId="0" borderId="4" xfId="0" quotePrefix="1" applyFont="1" applyBorder="1" applyAlignment="1">
      <alignment horizontal="right"/>
    </xf>
    <xf numFmtId="3" fontId="3" fillId="0" borderId="4" xfId="0" applyNumberFormat="1" applyFont="1" applyBorder="1"/>
    <xf numFmtId="3" fontId="3" fillId="0" borderId="5" xfId="0" applyNumberFormat="1" applyFont="1" applyBorder="1"/>
    <xf numFmtId="3" fontId="3" fillId="0" borderId="4" xfId="0" quotePrefix="1" applyNumberFormat="1" applyFont="1" applyBorder="1" applyAlignment="1">
      <alignment horizontal="right"/>
    </xf>
    <xf numFmtId="0" fontId="2" fillId="0" borderId="5" xfId="0" quotePrefix="1" applyFont="1" applyBorder="1" applyAlignment="1">
      <alignment horizontal="right"/>
    </xf>
    <xf numFmtId="3" fontId="3" fillId="2" borderId="4" xfId="0" applyNumberFormat="1" applyFont="1" applyFill="1" applyBorder="1" applyAlignment="1">
      <alignment horizontal="right"/>
    </xf>
    <xf numFmtId="3" fontId="3" fillId="2" borderId="4" xfId="0" applyNumberFormat="1" applyFont="1" applyFill="1" applyBorder="1"/>
    <xf numFmtId="3" fontId="3" fillId="2" borderId="5" xfId="0" applyNumberFormat="1" applyFont="1" applyFill="1" applyBorder="1"/>
    <xf numFmtId="0" fontId="3" fillId="0" borderId="7" xfId="0" quotePrefix="1" applyFont="1" applyBorder="1" applyAlignment="1">
      <alignment horizontal="right"/>
    </xf>
    <xf numFmtId="0" fontId="3" fillId="2" borderId="3" xfId="0" applyFont="1" applyFill="1" applyBorder="1"/>
    <xf numFmtId="0" fontId="3" fillId="2" borderId="5" xfId="0" applyFont="1" applyFill="1" applyBorder="1"/>
    <xf numFmtId="0" fontId="3" fillId="0" borderId="1" xfId="0" quotePrefix="1" applyFont="1" applyBorder="1" applyAlignment="1">
      <alignment horizontal="center" wrapText="1"/>
    </xf>
    <xf numFmtId="0" fontId="3" fillId="0" borderId="5" xfId="0" applyFont="1" applyBorder="1" applyAlignment="1">
      <alignment horizontal="center" wrapText="1"/>
    </xf>
    <xf numFmtId="0" fontId="3" fillId="0" borderId="2" xfId="0" quotePrefix="1" applyFont="1" applyBorder="1" applyAlignment="1">
      <alignment horizontal="right" vertical="top" wrapText="1"/>
    </xf>
    <xf numFmtId="170" fontId="3" fillId="0" borderId="2" xfId="0" applyNumberFormat="1" applyFont="1" applyBorder="1" applyAlignment="1">
      <alignment horizontal="right"/>
    </xf>
    <xf numFmtId="9" fontId="3" fillId="0" borderId="2" xfId="2" applyFont="1" applyFill="1" applyBorder="1" applyAlignment="1"/>
    <xf numFmtId="3" fontId="3" fillId="0" borderId="2" xfId="0" applyNumberFormat="1" applyFont="1" applyBorder="1" applyAlignment="1">
      <alignment wrapText="1"/>
    </xf>
    <xf numFmtId="10" fontId="3" fillId="0" borderId="2" xfId="2" applyNumberFormat="1" applyFont="1" applyFill="1" applyBorder="1" applyAlignment="1">
      <alignment wrapText="1"/>
    </xf>
    <xf numFmtId="0" fontId="3" fillId="0" borderId="2" xfId="0" applyFont="1" applyBorder="1" applyAlignment="1">
      <alignment horizontal="right" vertical="top" wrapText="1"/>
    </xf>
    <xf numFmtId="0" fontId="3" fillId="0" borderId="5" xfId="0" quotePrefix="1" applyFont="1" applyBorder="1" applyAlignment="1">
      <alignment horizontal="right" vertical="top" wrapText="1"/>
    </xf>
    <xf numFmtId="170" fontId="3" fillId="2" borderId="2" xfId="0" applyNumberFormat="1" applyFont="1" applyFill="1" applyBorder="1" applyAlignment="1">
      <alignment horizontal="right"/>
    </xf>
    <xf numFmtId="0" fontId="0" fillId="0" borderId="1" xfId="0" applyBorder="1"/>
    <xf numFmtId="0" fontId="0" fillId="0" borderId="6" xfId="0" applyBorder="1"/>
    <xf numFmtId="0" fontId="0" fillId="0" borderId="10" xfId="0" applyBorder="1"/>
    <xf numFmtId="0" fontId="3" fillId="0" borderId="1" xfId="0" applyFont="1" applyBorder="1"/>
    <xf numFmtId="0" fontId="3" fillId="0" borderId="8" xfId="0" applyFont="1" applyBorder="1"/>
    <xf numFmtId="0" fontId="3" fillId="0" borderId="7" xfId="0" applyFont="1" applyBorder="1"/>
    <xf numFmtId="0" fontId="3" fillId="0" borderId="12" xfId="0" applyFont="1" applyBorder="1"/>
    <xf numFmtId="0" fontId="4" fillId="0" borderId="12" xfId="0" applyFont="1" applyBorder="1"/>
    <xf numFmtId="0" fontId="3" fillId="0" borderId="6" xfId="0" applyFont="1" applyBorder="1"/>
    <xf numFmtId="0" fontId="4" fillId="0" borderId="6" xfId="0" applyFont="1" applyBorder="1"/>
    <xf numFmtId="0" fontId="4" fillId="0" borderId="2" xfId="0" applyFont="1" applyBorder="1" applyAlignment="1">
      <alignment horizontal="center" wrapText="1"/>
    </xf>
    <xf numFmtId="0" fontId="3" fillId="0" borderId="10" xfId="0" applyFont="1" applyBorder="1"/>
    <xf numFmtId="0" fontId="4" fillId="0" borderId="10" xfId="0" applyFont="1" applyBorder="1"/>
    <xf numFmtId="38" fontId="4" fillId="2" borderId="3" xfId="0" applyNumberFormat="1" applyFont="1" applyFill="1" applyBorder="1" applyAlignment="1">
      <alignment horizontal="right"/>
    </xf>
    <xf numFmtId="172" fontId="4" fillId="2" borderId="3" xfId="0" applyNumberFormat="1" applyFont="1" applyFill="1" applyBorder="1" applyAlignment="1">
      <alignment horizontal="right"/>
    </xf>
    <xf numFmtId="3" fontId="4" fillId="2" borderId="3" xfId="0" applyNumberFormat="1" applyFont="1" applyFill="1" applyBorder="1" applyAlignment="1">
      <alignment horizontal="right"/>
    </xf>
    <xf numFmtId="38" fontId="4" fillId="2" borderId="4" xfId="0" applyNumberFormat="1" applyFont="1" applyFill="1" applyBorder="1" applyAlignment="1">
      <alignment horizontal="right"/>
    </xf>
    <xf numFmtId="172" fontId="4" fillId="2" borderId="4" xfId="0" applyNumberFormat="1" applyFont="1" applyFill="1" applyBorder="1" applyAlignment="1">
      <alignment horizontal="right"/>
    </xf>
    <xf numFmtId="3" fontId="4" fillId="2" borderId="4" xfId="0" applyNumberFormat="1" applyFont="1" applyFill="1" applyBorder="1" applyAlignment="1">
      <alignment horizontal="right"/>
    </xf>
    <xf numFmtId="38" fontId="4" fillId="2" borderId="12" xfId="0" applyNumberFormat="1" applyFont="1" applyFill="1" applyBorder="1"/>
    <xf numFmtId="172" fontId="4" fillId="2" borderId="12" xfId="0" applyNumberFormat="1" applyFont="1" applyFill="1" applyBorder="1" applyAlignment="1">
      <alignment horizontal="right"/>
    </xf>
    <xf numFmtId="3" fontId="4" fillId="2" borderId="12" xfId="0" applyNumberFormat="1" applyFont="1" applyFill="1" applyBorder="1" applyAlignment="1">
      <alignment horizontal="right"/>
    </xf>
    <xf numFmtId="172" fontId="4" fillId="2" borderId="5" xfId="0" applyNumberFormat="1" applyFont="1" applyFill="1" applyBorder="1" applyAlignment="1">
      <alignment horizontal="right"/>
    </xf>
    <xf numFmtId="38" fontId="4" fillId="2" borderId="5" xfId="0" applyNumberFormat="1" applyFont="1" applyFill="1" applyBorder="1" applyAlignment="1">
      <alignment horizontal="right"/>
    </xf>
    <xf numFmtId="172" fontId="4" fillId="2" borderId="2" xfId="0" applyNumberFormat="1" applyFont="1" applyFill="1" applyBorder="1"/>
    <xf numFmtId="172" fontId="4" fillId="2" borderId="13" xfId="0" applyNumberFormat="1" applyFont="1" applyFill="1" applyBorder="1"/>
    <xf numFmtId="172" fontId="4" fillId="2" borderId="2" xfId="0" applyNumberFormat="1" applyFont="1" applyFill="1" applyBorder="1" applyAlignment="1">
      <alignment horizontal="right"/>
    </xf>
    <xf numFmtId="38" fontId="4" fillId="0" borderId="2" xfId="0" applyNumberFormat="1" applyFont="1" applyBorder="1"/>
    <xf numFmtId="3" fontId="4" fillId="0" borderId="2" xfId="0" applyNumberFormat="1" applyFont="1" applyBorder="1"/>
    <xf numFmtId="38" fontId="4" fillId="0" borderId="5" xfId="0" applyNumberFormat="1" applyFont="1" applyBorder="1" applyAlignment="1">
      <alignment horizontal="right"/>
    </xf>
    <xf numFmtId="38" fontId="4" fillId="0" borderId="2" xfId="0" applyNumberFormat="1" applyFont="1" applyBorder="1" applyAlignment="1">
      <alignment horizontal="right"/>
    </xf>
    <xf numFmtId="3" fontId="4" fillId="0" borderId="2" xfId="0" applyNumberFormat="1" applyFont="1" applyBorder="1" applyAlignment="1">
      <alignment horizontal="right"/>
    </xf>
    <xf numFmtId="0" fontId="21" fillId="0" borderId="0" xfId="0" applyFont="1"/>
    <xf numFmtId="0" fontId="8" fillId="4" borderId="14"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wrapText="1"/>
    </xf>
    <xf numFmtId="6" fontId="0" fillId="0" borderId="0" xfId="0" applyNumberFormat="1" applyAlignment="1">
      <alignment wrapText="1"/>
    </xf>
    <xf numFmtId="0" fontId="9" fillId="0" borderId="0" xfId="0" applyFont="1" applyAlignment="1">
      <alignment horizontal="left" vertical="center"/>
    </xf>
    <xf numFmtId="164" fontId="9" fillId="0" borderId="0" xfId="0" applyNumberFormat="1" applyFont="1" applyAlignment="1">
      <alignment horizontal="right" vertical="center" wrapText="1"/>
    </xf>
    <xf numFmtId="10" fontId="9" fillId="0" borderId="0" xfId="0" applyNumberFormat="1" applyFont="1" applyAlignment="1">
      <alignment horizontal="center" vertical="center" wrapText="1"/>
    </xf>
    <xf numFmtId="164" fontId="0" fillId="0" borderId="0" xfId="1" applyNumberFormat="1" applyFont="1"/>
    <xf numFmtId="165" fontId="0" fillId="0" borderId="0" xfId="2" applyNumberFormat="1" applyFont="1"/>
    <xf numFmtId="0" fontId="9" fillId="0" borderId="0" xfId="0" applyFont="1" applyAlignment="1">
      <alignment horizontal="left" vertical="center" wrapText="1"/>
    </xf>
    <xf numFmtId="0" fontId="24" fillId="0" borderId="0" xfId="0" applyFont="1"/>
    <xf numFmtId="6" fontId="9" fillId="0" borderId="0" xfId="0" applyNumberFormat="1" applyFont="1" applyAlignment="1">
      <alignment horizontal="right" vertical="center" wrapText="1"/>
    </xf>
    <xf numFmtId="6" fontId="12" fillId="0" borderId="0" xfId="0" applyNumberFormat="1" applyFont="1" applyAlignment="1">
      <alignment horizontal="right" vertical="center" wrapText="1"/>
    </xf>
    <xf numFmtId="0" fontId="20" fillId="0" borderId="0" xfId="0" applyFont="1" applyAlignment="1">
      <alignment wrapText="1"/>
    </xf>
    <xf numFmtId="0" fontId="22" fillId="0" borderId="0" xfId="0" applyFont="1" applyAlignment="1">
      <alignment horizontal="left" vertical="center" wrapText="1"/>
    </xf>
    <xf numFmtId="0" fontId="8" fillId="0" borderId="15" xfId="0" applyFont="1" applyBorder="1" applyAlignment="1">
      <alignment horizontal="left" vertical="center" wrapText="1"/>
    </xf>
    <xf numFmtId="0" fontId="8" fillId="0" borderId="0" xfId="0" applyFont="1" applyAlignment="1">
      <alignment horizontal="left" vertical="center" wrapText="1"/>
    </xf>
    <xf numFmtId="0" fontId="8" fillId="0" borderId="19" xfId="0" applyFont="1" applyBorder="1" applyAlignment="1">
      <alignment horizontal="right" vertical="center" wrapText="1"/>
    </xf>
    <xf numFmtId="8" fontId="9" fillId="0" borderId="0" xfId="0" applyNumberFormat="1" applyFont="1" applyAlignment="1">
      <alignment horizontal="right" vertical="center" wrapText="1"/>
    </xf>
    <xf numFmtId="0" fontId="8" fillId="0" borderId="0" xfId="0" applyFont="1" applyAlignment="1">
      <alignment horizontal="right" vertical="center" wrapText="1"/>
    </xf>
    <xf numFmtId="0" fontId="8" fillId="5" borderId="16" xfId="0" applyFont="1" applyFill="1" applyBorder="1" applyAlignment="1">
      <alignment horizontal="center" vertical="center" wrapText="1"/>
    </xf>
    <xf numFmtId="165" fontId="12" fillId="0" borderId="20" xfId="0" applyNumberFormat="1" applyFont="1" applyBorder="1" applyAlignment="1">
      <alignment horizontal="center" vertical="center" wrapText="1"/>
    </xf>
    <xf numFmtId="164" fontId="9" fillId="0" borderId="0" xfId="1" applyNumberFormat="1" applyFont="1" applyFill="1" applyBorder="1" applyAlignment="1">
      <alignment horizontal="right" vertical="center" wrapText="1"/>
    </xf>
    <xf numFmtId="9" fontId="9" fillId="0" borderId="0" xfId="2" applyFont="1" applyFill="1" applyBorder="1" applyAlignment="1">
      <alignment horizontal="center" vertical="center" wrapText="1"/>
    </xf>
    <xf numFmtId="0" fontId="20" fillId="0" borderId="0" xfId="0" applyFont="1" applyAlignment="1">
      <alignment vertical="center"/>
    </xf>
    <xf numFmtId="0" fontId="8" fillId="4" borderId="14" xfId="0" applyFont="1" applyFill="1" applyBorder="1" applyAlignment="1">
      <alignment horizontal="center" vertical="center"/>
    </xf>
    <xf numFmtId="165" fontId="9" fillId="0" borderId="18" xfId="0" applyNumberFormat="1" applyFont="1" applyBorder="1" applyAlignment="1">
      <alignment horizontal="center" vertical="center" wrapText="1"/>
    </xf>
    <xf numFmtId="0" fontId="25" fillId="0" borderId="0" xfId="0" applyFont="1"/>
    <xf numFmtId="165" fontId="0" fillId="0" borderId="0" xfId="2" applyNumberFormat="1" applyFont="1" applyAlignment="1">
      <alignment wrapText="1"/>
    </xf>
    <xf numFmtId="0" fontId="9" fillId="0" borderId="0" xfId="0" applyFont="1" applyAlignment="1">
      <alignment horizontal="center" vertical="center" wrapText="1"/>
    </xf>
    <xf numFmtId="10" fontId="9" fillId="0" borderId="14" xfId="0" applyNumberFormat="1" applyFont="1" applyBorder="1" applyAlignment="1">
      <alignment horizontal="center" vertical="center" wrapText="1"/>
    </xf>
    <xf numFmtId="10" fontId="9" fillId="0" borderId="20" xfId="0" applyNumberFormat="1" applyFont="1" applyBorder="1" applyAlignment="1">
      <alignment horizontal="center" vertical="center" wrapText="1"/>
    </xf>
    <xf numFmtId="0" fontId="2" fillId="0" borderId="0" xfId="0" quotePrefix="1" applyFont="1" applyAlignment="1">
      <alignment horizontal="center" wrapText="1"/>
    </xf>
    <xf numFmtId="0" fontId="2" fillId="0" borderId="0" xfId="0" applyFont="1" applyAlignment="1">
      <alignment horizontal="center"/>
    </xf>
    <xf numFmtId="0" fontId="2" fillId="0" borderId="0" xfId="0" quotePrefix="1" applyFont="1" applyAlignment="1">
      <alignment horizontal="center"/>
    </xf>
    <xf numFmtId="0" fontId="2" fillId="0" borderId="0" xfId="0" applyFont="1"/>
    <xf numFmtId="10" fontId="9" fillId="0" borderId="21" xfId="0" applyNumberFormat="1" applyFont="1" applyBorder="1" applyAlignment="1">
      <alignment horizontal="center" vertical="center" wrapText="1"/>
    </xf>
    <xf numFmtId="0" fontId="2" fillId="0" borderId="0" xfId="0" applyFont="1" applyAlignment="1">
      <alignment horizontal="right"/>
    </xf>
    <xf numFmtId="10" fontId="26" fillId="0" borderId="0" xfId="0" applyNumberFormat="1" applyFont="1" applyAlignment="1">
      <alignment horizontal="center"/>
    </xf>
    <xf numFmtId="10" fontId="26" fillId="0" borderId="0" xfId="2" applyNumberFormat="1" applyFont="1" applyFill="1" applyBorder="1" applyAlignment="1"/>
    <xf numFmtId="0" fontId="8" fillId="0" borderId="15" xfId="0" applyFont="1" applyBorder="1" applyAlignment="1">
      <alignment vertical="center"/>
    </xf>
    <xf numFmtId="0" fontId="20" fillId="0" borderId="0" xfId="0" applyFont="1" applyAlignment="1">
      <alignment horizontal="center" vertical="center"/>
    </xf>
    <xf numFmtId="0" fontId="8" fillId="4" borderId="26" xfId="0" applyFont="1" applyFill="1" applyBorder="1" applyAlignment="1">
      <alignment vertical="center"/>
    </xf>
    <xf numFmtId="0" fontId="8" fillId="4" borderId="24" xfId="0" applyFont="1" applyFill="1" applyBorder="1" applyAlignment="1">
      <alignment vertical="center" wrapText="1"/>
    </xf>
    <xf numFmtId="0" fontId="8" fillId="4" borderId="16" xfId="0" applyFont="1" applyFill="1" applyBorder="1" applyAlignment="1">
      <alignment vertical="center" wrapText="1"/>
    </xf>
    <xf numFmtId="0" fontId="20" fillId="0" borderId="0" xfId="0" applyFont="1"/>
    <xf numFmtId="0" fontId="27" fillId="0" borderId="0" xfId="0" applyFont="1"/>
    <xf numFmtId="0" fontId="5" fillId="0" borderId="0" xfId="3" applyAlignment="1" applyProtection="1"/>
    <xf numFmtId="3" fontId="9" fillId="0" borderId="0" xfId="0" applyNumberFormat="1" applyFont="1" applyAlignment="1">
      <alignment vertical="center" wrapText="1"/>
    </xf>
    <xf numFmtId="3" fontId="9" fillId="0" borderId="0" xfId="0" applyNumberFormat="1" applyFont="1" applyAlignment="1">
      <alignment horizontal="center" vertical="center" wrapText="1"/>
    </xf>
    <xf numFmtId="8" fontId="9" fillId="0" borderId="0" xfId="0" applyNumberFormat="1" applyFont="1" applyAlignment="1">
      <alignment vertical="center" wrapText="1"/>
    </xf>
    <xf numFmtId="165" fontId="9" fillId="0" borderId="29" xfId="0" applyNumberFormat="1"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wrapText="1"/>
    </xf>
    <xf numFmtId="14" fontId="9" fillId="0" borderId="0" xfId="0" applyNumberFormat="1" applyFont="1" applyAlignment="1">
      <alignment vertical="center" wrapText="1"/>
    </xf>
    <xf numFmtId="10" fontId="9" fillId="0" borderId="20" xfId="0" applyNumberFormat="1" applyFont="1" applyBorder="1" applyAlignment="1">
      <alignment vertical="center" wrapText="1"/>
    </xf>
    <xf numFmtId="0" fontId="5" fillId="0" borderId="0" xfId="3" applyAlignment="1" applyProtection="1">
      <alignment wrapText="1"/>
    </xf>
    <xf numFmtId="10" fontId="9" fillId="0" borderId="29" xfId="0" applyNumberFormat="1"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8" fillId="4" borderId="26" xfId="0" applyFont="1" applyFill="1" applyBorder="1" applyAlignment="1">
      <alignment vertical="center"/>
    </xf>
    <xf numFmtId="0" fontId="28" fillId="4" borderId="24" xfId="0" applyFont="1" applyFill="1" applyBorder="1" applyAlignment="1">
      <alignment vertical="center" wrapText="1"/>
    </xf>
    <xf numFmtId="0" fontId="28" fillId="4" borderId="16" xfId="0" applyFont="1" applyFill="1" applyBorder="1" applyAlignment="1">
      <alignment vertical="center" wrapText="1"/>
    </xf>
    <xf numFmtId="0" fontId="28" fillId="6" borderId="26" xfId="0" applyFont="1" applyFill="1" applyBorder="1" applyAlignment="1">
      <alignment horizontal="center" vertical="center"/>
    </xf>
    <xf numFmtId="0" fontId="28" fillId="6" borderId="26"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2" fillId="0" borderId="25" xfId="0" applyFont="1" applyBorder="1" applyAlignment="1">
      <alignment horizontal="left" vertical="center"/>
    </xf>
    <xf numFmtId="3" fontId="22" fillId="0" borderId="25" xfId="0" applyNumberFormat="1" applyFont="1" applyBorder="1" applyAlignment="1">
      <alignment vertical="center" wrapText="1"/>
    </xf>
    <xf numFmtId="0" fontId="22" fillId="0" borderId="14" xfId="0" applyFont="1" applyBorder="1" applyAlignment="1">
      <alignment horizontal="left" vertical="center" wrapText="1"/>
    </xf>
    <xf numFmtId="0" fontId="22" fillId="0" borderId="17" xfId="0" applyFont="1" applyBorder="1" applyAlignment="1">
      <alignment horizontal="right" vertical="center" wrapText="1"/>
    </xf>
    <xf numFmtId="0" fontId="29" fillId="0" borderId="0" xfId="3" applyFont="1" applyAlignment="1" applyProtection="1">
      <alignment wrapText="1"/>
    </xf>
    <xf numFmtId="0" fontId="22" fillId="0" borderId="19" xfId="0" applyFont="1" applyBorder="1" applyAlignment="1">
      <alignment horizontal="left" vertical="center"/>
    </xf>
    <xf numFmtId="0" fontId="22" fillId="0" borderId="17" xfId="0" applyFont="1" applyBorder="1" applyAlignment="1">
      <alignment horizontal="left" vertical="center" wrapText="1"/>
    </xf>
    <xf numFmtId="3" fontId="22" fillId="0" borderId="17" xfId="0" applyNumberFormat="1" applyFont="1" applyBorder="1" applyAlignment="1">
      <alignment horizontal="right" vertical="center" wrapText="1"/>
    </xf>
    <xf numFmtId="0" fontId="22" fillId="0" borderId="31" xfId="0" applyFont="1" applyBorder="1" applyAlignment="1">
      <alignment vertical="center"/>
    </xf>
    <xf numFmtId="0" fontId="30" fillId="0" borderId="19" xfId="0" applyFont="1" applyBorder="1" applyAlignment="1">
      <alignment vertical="center"/>
    </xf>
    <xf numFmtId="3" fontId="22" fillId="0" borderId="19" xfId="0" applyNumberFormat="1" applyFont="1" applyBorder="1" applyAlignment="1">
      <alignment vertical="center" wrapText="1"/>
    </xf>
    <xf numFmtId="0" fontId="22" fillId="0" borderId="19" xfId="0" applyFont="1" applyBorder="1" applyAlignment="1">
      <alignment vertical="center"/>
    </xf>
    <xf numFmtId="0" fontId="22" fillId="0" borderId="31" xfId="0" applyFont="1" applyBorder="1" applyAlignment="1">
      <alignment horizontal="left" vertical="center" wrapText="1"/>
    </xf>
    <xf numFmtId="0" fontId="22" fillId="0" borderId="31" xfId="0" applyFont="1" applyBorder="1" applyAlignment="1">
      <alignment horizontal="right" vertical="center" wrapText="1"/>
    </xf>
    <xf numFmtId="0" fontId="30" fillId="0" borderId="19" xfId="0" applyFont="1" applyBorder="1" applyAlignment="1">
      <alignment vertical="center" wrapText="1"/>
    </xf>
    <xf numFmtId="0" fontId="22" fillId="0" borderId="22" xfId="0" applyFont="1" applyBorder="1" applyAlignment="1">
      <alignment vertical="center" wrapText="1"/>
    </xf>
    <xf numFmtId="3" fontId="22" fillId="0" borderId="21" xfId="0" applyNumberFormat="1" applyFont="1" applyBorder="1" applyAlignment="1">
      <alignment horizontal="right" vertical="center" wrapText="1"/>
    </xf>
    <xf numFmtId="0" fontId="28" fillId="0" borderId="26" xfId="0" applyFont="1" applyBorder="1" applyAlignment="1">
      <alignment vertical="center"/>
    </xf>
    <xf numFmtId="3" fontId="22" fillId="0" borderId="15" xfId="0" applyNumberFormat="1" applyFont="1" applyBorder="1" applyAlignment="1">
      <alignment vertical="center" wrapText="1"/>
    </xf>
    <xf numFmtId="0" fontId="28" fillId="0" borderId="15" xfId="0" applyFont="1" applyBorder="1" applyAlignment="1">
      <alignment vertical="center" wrapText="1"/>
    </xf>
    <xf numFmtId="3" fontId="22" fillId="0" borderId="16" xfId="0" applyNumberFormat="1" applyFont="1" applyBorder="1" applyAlignment="1">
      <alignment horizontal="right" vertical="center" wrapText="1"/>
    </xf>
    <xf numFmtId="0" fontId="28" fillId="0" borderId="0" xfId="0" applyFont="1" applyAlignment="1">
      <alignment vertical="center"/>
    </xf>
    <xf numFmtId="3" fontId="22" fillId="0" borderId="0" xfId="0" applyNumberFormat="1" applyFont="1" applyAlignment="1">
      <alignment vertical="center" wrapText="1"/>
    </xf>
    <xf numFmtId="0" fontId="28" fillId="0" borderId="0" xfId="0" applyFont="1" applyAlignment="1">
      <alignment vertical="center" wrapText="1"/>
    </xf>
    <xf numFmtId="3" fontId="22" fillId="0" borderId="0" xfId="0" applyNumberFormat="1" applyFont="1" applyAlignment="1">
      <alignment horizontal="right" vertical="center" wrapText="1"/>
    </xf>
    <xf numFmtId="0" fontId="31" fillId="4" borderId="26" xfId="0" applyFont="1" applyFill="1" applyBorder="1" applyAlignment="1">
      <alignment horizontal="center" vertical="center" wrapText="1"/>
    </xf>
    <xf numFmtId="0" fontId="32" fillId="4" borderId="24" xfId="0" applyFont="1" applyFill="1" applyBorder="1" applyAlignment="1">
      <alignment vertical="center" wrapText="1"/>
    </xf>
    <xf numFmtId="0" fontId="32" fillId="4" borderId="16" xfId="0" applyFont="1" applyFill="1" applyBorder="1" applyAlignment="1">
      <alignment vertical="center" wrapText="1"/>
    </xf>
    <xf numFmtId="0" fontId="31" fillId="6" borderId="21" xfId="0" applyFont="1" applyFill="1" applyBorder="1" applyAlignment="1">
      <alignment horizontal="center" vertical="center"/>
    </xf>
    <xf numFmtId="0" fontId="31" fillId="6" borderId="15" xfId="0" applyFont="1" applyFill="1" applyBorder="1" applyAlignment="1">
      <alignment horizontal="center" vertical="center" wrapText="1"/>
    </xf>
    <xf numFmtId="0" fontId="31" fillId="6" borderId="21" xfId="0" applyFont="1" applyFill="1" applyBorder="1" applyAlignment="1">
      <alignment horizontal="center" vertical="center" wrapText="1"/>
    </xf>
    <xf numFmtId="0" fontId="32" fillId="0" borderId="17" xfId="0" applyFont="1" applyBorder="1" applyAlignment="1">
      <alignment horizontal="left" vertical="center"/>
    </xf>
    <xf numFmtId="165" fontId="9" fillId="0" borderId="17" xfId="0" applyNumberFormat="1" applyFont="1" applyBorder="1" applyAlignment="1">
      <alignment horizontal="center" vertical="center" wrapText="1"/>
    </xf>
    <xf numFmtId="0" fontId="32" fillId="0" borderId="21" xfId="0" applyFont="1" applyBorder="1" applyAlignment="1">
      <alignment horizontal="left" vertical="center"/>
    </xf>
    <xf numFmtId="0" fontId="8" fillId="4" borderId="26" xfId="0" applyFont="1" applyFill="1" applyBorder="1" applyAlignment="1">
      <alignment horizontal="left" vertical="center"/>
    </xf>
    <xf numFmtId="0" fontId="0" fillId="4" borderId="24" xfId="0" applyFill="1" applyBorder="1" applyAlignment="1">
      <alignment wrapText="1"/>
    </xf>
    <xf numFmtId="0" fontId="0" fillId="4" borderId="16" xfId="0" applyFill="1" applyBorder="1" applyAlignment="1">
      <alignment wrapText="1"/>
    </xf>
    <xf numFmtId="0" fontId="23" fillId="0" borderId="0" xfId="0" applyFont="1" applyAlignment="1">
      <alignment wrapText="1"/>
    </xf>
    <xf numFmtId="3" fontId="0" fillId="0" borderId="0" xfId="0" applyNumberFormat="1" applyAlignment="1">
      <alignment wrapText="1"/>
    </xf>
    <xf numFmtId="0" fontId="33" fillId="0" borderId="22" xfId="0" applyFont="1" applyBorder="1" applyAlignment="1">
      <alignment vertical="center"/>
    </xf>
    <xf numFmtId="0" fontId="33" fillId="0" borderId="23" xfId="0" applyFont="1" applyBorder="1" applyAlignment="1">
      <alignment vertical="center" wrapText="1"/>
    </xf>
    <xf numFmtId="0" fontId="33" fillId="0" borderId="29" xfId="0" applyFont="1" applyBorder="1" applyAlignment="1">
      <alignment vertical="center" wrapText="1"/>
    </xf>
    <xf numFmtId="3" fontId="22" fillId="0" borderId="0" xfId="0" applyNumberFormat="1" applyFont="1" applyAlignment="1">
      <alignment horizontal="center" vertical="center" wrapText="1"/>
    </xf>
    <xf numFmtId="0" fontId="34" fillId="0" borderId="22" xfId="0" applyFont="1" applyBorder="1" applyAlignment="1">
      <alignment vertical="center"/>
    </xf>
    <xf numFmtId="0" fontId="35" fillId="0" borderId="23" xfId="0" applyFont="1" applyBorder="1" applyAlignment="1">
      <alignment vertical="center" wrapText="1"/>
    </xf>
    <xf numFmtId="0" fontId="35" fillId="0" borderId="29" xfId="0" applyFont="1" applyBorder="1" applyAlignment="1">
      <alignment vertical="center" wrapText="1"/>
    </xf>
    <xf numFmtId="0" fontId="12" fillId="0" borderId="17" xfId="0" applyFont="1" applyBorder="1" applyAlignment="1">
      <alignment horizontal="left" vertical="center"/>
    </xf>
    <xf numFmtId="3" fontId="12" fillId="0" borderId="20" xfId="0" applyNumberFormat="1" applyFont="1" applyBorder="1" applyAlignment="1">
      <alignment horizontal="center" vertical="center" wrapText="1"/>
    </xf>
    <xf numFmtId="165" fontId="12" fillId="0" borderId="14" xfId="0" applyNumberFormat="1" applyFont="1" applyBorder="1" applyAlignment="1">
      <alignment horizontal="center" vertical="center" wrapText="1"/>
    </xf>
    <xf numFmtId="165" fontId="12" fillId="0" borderId="17" xfId="0" applyNumberFormat="1"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left" vertical="center"/>
    </xf>
    <xf numFmtId="0" fontId="12" fillId="0" borderId="29" xfId="0" applyFont="1" applyBorder="1" applyAlignment="1">
      <alignment horizontal="center" vertical="center" wrapText="1"/>
    </xf>
    <xf numFmtId="165" fontId="12" fillId="0" borderId="21" xfId="0" applyNumberFormat="1" applyFont="1" applyBorder="1" applyAlignment="1">
      <alignment horizontal="center" vertical="center" wrapText="1"/>
    </xf>
    <xf numFmtId="0" fontId="28" fillId="4" borderId="26" xfId="0" applyFont="1" applyFill="1" applyBorder="1" applyAlignment="1">
      <alignment vertical="center" wrapText="1"/>
    </xf>
    <xf numFmtId="0" fontId="28" fillId="6" borderId="25" xfId="0" applyFont="1" applyFill="1" applyBorder="1" applyAlignment="1">
      <alignment horizontal="center" vertical="center" wrapText="1"/>
    </xf>
    <xf numFmtId="0" fontId="28" fillId="6" borderId="14" xfId="0" applyFont="1" applyFill="1" applyBorder="1" applyAlignment="1">
      <alignment horizontal="center" vertical="center" wrapText="1"/>
    </xf>
    <xf numFmtId="0" fontId="28" fillId="6" borderId="18" xfId="0" applyFont="1" applyFill="1" applyBorder="1" applyAlignment="1">
      <alignment horizontal="center" vertical="center" wrapText="1"/>
    </xf>
    <xf numFmtId="0" fontId="12" fillId="0" borderId="25" xfId="0" applyFont="1" applyBorder="1" applyAlignment="1">
      <alignment vertical="center" wrapText="1"/>
    </xf>
    <xf numFmtId="0" fontId="12" fillId="0" borderId="14" xfId="0" applyFont="1" applyBorder="1" applyAlignment="1">
      <alignment horizontal="right" vertical="center" wrapText="1"/>
    </xf>
    <xf numFmtId="3" fontId="12" fillId="0" borderId="14" xfId="0" applyNumberFormat="1" applyFont="1" applyBorder="1" applyAlignment="1">
      <alignment horizontal="center" vertical="center" wrapText="1"/>
    </xf>
    <xf numFmtId="3" fontId="12" fillId="0" borderId="18" xfId="0" applyNumberFormat="1" applyFont="1" applyBorder="1" applyAlignment="1">
      <alignment horizontal="center" vertical="center" wrapText="1"/>
    </xf>
    <xf numFmtId="3" fontId="12" fillId="0" borderId="25" xfId="0" applyNumberFormat="1" applyFont="1" applyBorder="1" applyAlignment="1">
      <alignment horizontal="center" vertical="center" wrapText="1"/>
    </xf>
    <xf numFmtId="0" fontId="12" fillId="0" borderId="19" xfId="0" applyFont="1" applyBorder="1" applyAlignment="1">
      <alignment vertical="center" wrapText="1"/>
    </xf>
    <xf numFmtId="0" fontId="12" fillId="0" borderId="17" xfId="0" applyFont="1" applyBorder="1" applyAlignment="1">
      <alignment horizontal="right" vertical="center" wrapText="1"/>
    </xf>
    <xf numFmtId="3" fontId="12" fillId="0" borderId="19" xfId="0" applyNumberFormat="1" applyFont="1" applyBorder="1" applyAlignment="1">
      <alignment horizontal="center" vertical="center" wrapText="1"/>
    </xf>
    <xf numFmtId="3" fontId="12" fillId="0" borderId="21" xfId="0" applyNumberFormat="1" applyFont="1" applyBorder="1" applyAlignment="1">
      <alignment horizontal="center" vertical="center" wrapText="1"/>
    </xf>
    <xf numFmtId="0" fontId="12" fillId="0" borderId="28" xfId="0" applyFont="1" applyBorder="1" applyAlignment="1">
      <alignment vertical="center" wrapText="1"/>
    </xf>
    <xf numFmtId="0" fontId="12" fillId="0" borderId="27" xfId="0" applyFont="1" applyBorder="1" applyAlignment="1">
      <alignment horizontal="right" vertical="center" wrapText="1"/>
    </xf>
    <xf numFmtId="3" fontId="12" fillId="0" borderId="17" xfId="0" applyNumberFormat="1" applyFont="1" applyBorder="1" applyAlignment="1">
      <alignment horizontal="center" vertical="center" wrapText="1"/>
    </xf>
    <xf numFmtId="0" fontId="12" fillId="0" borderId="22" xfId="0" applyFont="1" applyBorder="1" applyAlignment="1">
      <alignment vertical="center" wrapText="1"/>
    </xf>
    <xf numFmtId="0" fontId="12" fillId="0" borderId="21" xfId="0" applyFont="1" applyBorder="1" applyAlignment="1">
      <alignment horizontal="right" vertical="center" wrapText="1"/>
    </xf>
    <xf numFmtId="3" fontId="12" fillId="0" borderId="22" xfId="0" applyNumberFormat="1" applyFont="1" applyBorder="1" applyAlignment="1">
      <alignment horizontal="center" vertical="center" wrapText="1"/>
    </xf>
    <xf numFmtId="0" fontId="37" fillId="4" borderId="26" xfId="0" applyFont="1" applyFill="1" applyBorder="1" applyAlignment="1">
      <alignment vertical="center"/>
    </xf>
    <xf numFmtId="0" fontId="12" fillId="4" borderId="24" xfId="0" applyFont="1" applyFill="1" applyBorder="1" applyAlignment="1">
      <alignment vertical="center" wrapText="1"/>
    </xf>
    <xf numFmtId="0" fontId="12" fillId="4" borderId="32" xfId="0" applyFont="1" applyFill="1" applyBorder="1" applyAlignment="1">
      <alignment vertical="center" wrapText="1"/>
    </xf>
    <xf numFmtId="0" fontId="37" fillId="6" borderId="22" xfId="0" applyFont="1" applyFill="1" applyBorder="1" applyAlignment="1">
      <alignment horizontal="center" vertical="center"/>
    </xf>
    <xf numFmtId="0" fontId="37" fillId="6" borderId="21" xfId="0" applyFont="1" applyFill="1" applyBorder="1" applyAlignment="1">
      <alignment horizontal="center" vertical="center" wrapText="1"/>
    </xf>
    <xf numFmtId="0" fontId="37" fillId="6" borderId="29" xfId="0" applyFont="1" applyFill="1" applyBorder="1" applyAlignment="1">
      <alignment horizontal="center" vertical="center" wrapText="1"/>
    </xf>
    <xf numFmtId="0" fontId="12" fillId="0" borderId="19" xfId="0" applyFont="1" applyBorder="1" applyAlignment="1">
      <alignment vertical="center"/>
    </xf>
    <xf numFmtId="172" fontId="12" fillId="0" borderId="20" xfId="0" applyNumberFormat="1" applyFont="1" applyBorder="1" applyAlignment="1">
      <alignment horizontal="center" vertical="center" wrapText="1"/>
    </xf>
    <xf numFmtId="0" fontId="12" fillId="0" borderId="22" xfId="0" applyFont="1" applyBorder="1" applyAlignment="1">
      <alignment vertical="center"/>
    </xf>
    <xf numFmtId="172" fontId="12" fillId="0" borderId="29" xfId="0" applyNumberFormat="1" applyFont="1" applyBorder="1" applyAlignment="1">
      <alignment horizontal="center" vertical="center" wrapText="1"/>
    </xf>
    <xf numFmtId="0" fontId="22" fillId="4" borderId="24" xfId="0" applyFont="1" applyFill="1" applyBorder="1" applyAlignment="1">
      <alignment vertical="center" wrapText="1"/>
    </xf>
    <xf numFmtId="0" fontId="22" fillId="4" borderId="16" xfId="0" applyFont="1" applyFill="1" applyBorder="1" applyAlignment="1">
      <alignment vertical="center" wrapText="1"/>
    </xf>
    <xf numFmtId="0" fontId="28" fillId="6" borderId="22" xfId="0" applyFont="1" applyFill="1" applyBorder="1" applyAlignment="1">
      <alignment horizontal="center" vertical="center"/>
    </xf>
    <xf numFmtId="0" fontId="28" fillId="6" borderId="21" xfId="0" applyFont="1" applyFill="1" applyBorder="1" applyAlignment="1">
      <alignment horizontal="center" vertical="center" wrapText="1"/>
    </xf>
    <xf numFmtId="0" fontId="28" fillId="6" borderId="29" xfId="0" applyFont="1" applyFill="1" applyBorder="1" applyAlignment="1">
      <alignment horizontal="center" vertical="center" wrapText="1"/>
    </xf>
    <xf numFmtId="172" fontId="0" fillId="0" borderId="0" xfId="0" applyNumberFormat="1" applyAlignment="1">
      <alignment wrapText="1"/>
    </xf>
    <xf numFmtId="0" fontId="12" fillId="0" borderId="26" xfId="0" applyFont="1" applyBorder="1" applyAlignment="1">
      <alignment vertical="center"/>
    </xf>
    <xf numFmtId="3" fontId="12" fillId="0" borderId="15" xfId="0" applyNumberFormat="1" applyFont="1" applyBorder="1" applyAlignment="1">
      <alignment horizontal="center" vertical="center" wrapText="1"/>
    </xf>
    <xf numFmtId="0" fontId="22" fillId="0" borderId="0" xfId="0" applyFont="1" applyAlignment="1">
      <alignment vertical="center"/>
    </xf>
    <xf numFmtId="0" fontId="22" fillId="0" borderId="0" xfId="0" applyFont="1" applyAlignment="1">
      <alignment horizontal="center" vertical="center" wrapText="1"/>
    </xf>
    <xf numFmtId="0" fontId="12" fillId="0" borderId="22" xfId="0" applyFont="1" applyBorder="1" applyAlignment="1">
      <alignment horizontal="left" vertical="center"/>
    </xf>
    <xf numFmtId="3" fontId="12" fillId="0" borderId="29" xfId="0" applyNumberFormat="1" applyFont="1" applyBorder="1" applyAlignment="1">
      <alignment horizontal="center" vertical="center" wrapText="1"/>
    </xf>
    <xf numFmtId="0" fontId="3" fillId="0" borderId="0" xfId="0" applyFont="1"/>
    <xf numFmtId="38" fontId="38" fillId="0" borderId="0" xfId="0" applyNumberFormat="1" applyFont="1" applyAlignment="1">
      <alignment horizontal="right"/>
    </xf>
    <xf numFmtId="172" fontId="38" fillId="0" borderId="0" xfId="0" applyNumberFormat="1" applyFont="1" applyAlignment="1">
      <alignment horizontal="right"/>
    </xf>
    <xf numFmtId="3" fontId="38" fillId="0" borderId="0" xfId="0" applyNumberFormat="1" applyFont="1" applyAlignment="1">
      <alignment horizontal="right"/>
    </xf>
    <xf numFmtId="0" fontId="28" fillId="0" borderId="0" xfId="0" applyFont="1" applyAlignment="1">
      <alignment horizontal="center" vertical="center" wrapText="1"/>
    </xf>
    <xf numFmtId="172" fontId="22" fillId="0" borderId="0" xfId="0" applyNumberFormat="1" applyFont="1" applyAlignment="1">
      <alignment horizontal="center" vertical="center" wrapText="1"/>
    </xf>
    <xf numFmtId="0" fontId="9" fillId="0" borderId="17" xfId="0" applyFont="1" applyBorder="1" applyAlignment="1">
      <alignment horizontal="left" vertical="center" wrapText="1"/>
    </xf>
    <xf numFmtId="165" fontId="4" fillId="0" borderId="20" xfId="0" applyNumberFormat="1" applyFont="1" applyBorder="1" applyAlignment="1">
      <alignment horizontal="right"/>
    </xf>
    <xf numFmtId="165" fontId="4" fillId="0" borderId="16" xfId="0" applyNumberFormat="1" applyFont="1" applyBorder="1" applyAlignment="1">
      <alignment horizontal="right"/>
    </xf>
    <xf numFmtId="164" fontId="4" fillId="0" borderId="17" xfId="1" applyNumberFormat="1" applyFont="1" applyFill="1" applyBorder="1" applyAlignment="1">
      <alignment horizontal="right"/>
    </xf>
    <xf numFmtId="164" fontId="4" fillId="0" borderId="15" xfId="1" applyNumberFormat="1" applyFont="1" applyFill="1" applyBorder="1" applyAlignment="1">
      <alignment horizontal="right"/>
    </xf>
    <xf numFmtId="165" fontId="12" fillId="0" borderId="16" xfId="0" applyNumberFormat="1" applyFont="1" applyBorder="1" applyAlignment="1">
      <alignment horizontal="center" vertical="center" wrapText="1"/>
    </xf>
    <xf numFmtId="0" fontId="13" fillId="0" borderId="19" xfId="0" applyFont="1" applyBorder="1" applyAlignment="1">
      <alignment horizontal="center" vertical="center" wrapText="1"/>
    </xf>
    <xf numFmtId="0" fontId="13" fillId="0" borderId="17" xfId="0" applyFont="1" applyBorder="1" applyAlignment="1">
      <alignment horizontal="center" vertical="center" wrapText="1"/>
    </xf>
    <xf numFmtId="49" fontId="9" fillId="0" borderId="14" xfId="0" applyNumberFormat="1" applyFont="1" applyBorder="1" applyAlignment="1">
      <alignment horizontal="center" vertical="center" wrapText="1"/>
    </xf>
    <xf numFmtId="10" fontId="9" fillId="0" borderId="17" xfId="0" applyNumberFormat="1" applyFont="1" applyBorder="1" applyAlignment="1">
      <alignment horizontal="center" vertical="center" wrapText="1"/>
    </xf>
    <xf numFmtId="10" fontId="9" fillId="0" borderId="16" xfId="0" applyNumberFormat="1" applyFont="1" applyBorder="1" applyAlignment="1">
      <alignment horizontal="center" vertical="center" wrapText="1"/>
    </xf>
    <xf numFmtId="0" fontId="8" fillId="6" borderId="14" xfId="0" applyFont="1" applyFill="1" applyBorder="1" applyAlignment="1">
      <alignment horizontal="center" vertical="center" wrapText="1"/>
    </xf>
    <xf numFmtId="0" fontId="8" fillId="6" borderId="18" xfId="0" applyFont="1" applyFill="1" applyBorder="1" applyAlignment="1">
      <alignment horizontal="center" vertical="center" wrapText="1"/>
    </xf>
    <xf numFmtId="10" fontId="9" fillId="0" borderId="18" xfId="0" applyNumberFormat="1" applyFont="1" applyBorder="1" applyAlignment="1">
      <alignment horizontal="center" vertical="center" wrapText="1"/>
    </xf>
    <xf numFmtId="0" fontId="8" fillId="0" borderId="14" xfId="0" applyFont="1" applyBorder="1" applyAlignment="1">
      <alignment vertical="center"/>
    </xf>
    <xf numFmtId="0" fontId="8" fillId="0" borderId="17" xfId="0" applyFont="1" applyBorder="1" applyAlignment="1">
      <alignment vertical="center"/>
    </xf>
    <xf numFmtId="0" fontId="9" fillId="0" borderId="14" xfId="0" applyFont="1" applyBorder="1" applyAlignment="1">
      <alignment horizontal="left" vertical="center"/>
    </xf>
    <xf numFmtId="3" fontId="9" fillId="0" borderId="14" xfId="0" applyNumberFormat="1" applyFont="1" applyBorder="1" applyAlignment="1">
      <alignment vertical="center" wrapText="1"/>
    </xf>
    <xf numFmtId="3" fontId="9" fillId="0" borderId="17" xfId="0" applyNumberFormat="1" applyFont="1" applyBorder="1" applyAlignment="1">
      <alignment vertical="center" wrapText="1"/>
    </xf>
    <xf numFmtId="3" fontId="9" fillId="0" borderId="21" xfId="0" applyNumberFormat="1" applyFont="1" applyBorder="1" applyAlignment="1">
      <alignment vertical="center" wrapText="1"/>
    </xf>
    <xf numFmtId="3" fontId="9" fillId="0" borderId="14" xfId="0" applyNumberFormat="1" applyFont="1" applyBorder="1" applyAlignment="1">
      <alignment horizontal="center" vertical="center" wrapText="1"/>
    </xf>
    <xf numFmtId="3" fontId="9" fillId="0" borderId="17" xfId="0" applyNumberFormat="1" applyFont="1" applyBorder="1" applyAlignment="1">
      <alignment horizontal="center" vertical="center" wrapText="1"/>
    </xf>
    <xf numFmtId="3" fontId="9" fillId="0" borderId="21" xfId="0" applyNumberFormat="1" applyFont="1" applyBorder="1" applyAlignment="1">
      <alignment horizontal="center" vertical="center" wrapText="1"/>
    </xf>
    <xf numFmtId="8" fontId="9" fillId="0" borderId="14" xfId="0" applyNumberFormat="1" applyFont="1" applyBorder="1" applyAlignment="1">
      <alignment vertical="center" wrapText="1"/>
    </xf>
    <xf numFmtId="8" fontId="9" fillId="0" borderId="17" xfId="0" applyNumberFormat="1" applyFont="1" applyBorder="1" applyAlignment="1">
      <alignment vertical="center" wrapText="1"/>
    </xf>
    <xf numFmtId="8" fontId="9" fillId="0" borderId="21" xfId="0" applyNumberFormat="1" applyFont="1" applyBorder="1" applyAlignment="1">
      <alignment vertical="center" wrapText="1"/>
    </xf>
    <xf numFmtId="0" fontId="9" fillId="0" borderId="17" xfId="0" applyFont="1" applyBorder="1" applyAlignment="1">
      <alignment vertical="center"/>
    </xf>
    <xf numFmtId="0" fontId="9" fillId="0" borderId="21" xfId="0" applyFont="1" applyBorder="1" applyAlignment="1">
      <alignment vertical="center"/>
    </xf>
    <xf numFmtId="0" fontId="9" fillId="0" borderId="17" xfId="0" applyFont="1" applyBorder="1" applyAlignment="1">
      <alignment vertical="center" wrapText="1"/>
    </xf>
    <xf numFmtId="0" fontId="9" fillId="0" borderId="21" xfId="0" applyFont="1" applyBorder="1" applyAlignment="1">
      <alignment vertical="center" wrapText="1"/>
    </xf>
    <xf numFmtId="14" fontId="9" fillId="0" borderId="17" xfId="0" applyNumberFormat="1" applyFont="1" applyBorder="1" applyAlignment="1">
      <alignment horizontal="right" vertical="center" wrapText="1"/>
    </xf>
    <xf numFmtId="14" fontId="9" fillId="0" borderId="21" xfId="0" applyNumberFormat="1" applyFont="1" applyBorder="1" applyAlignment="1">
      <alignment horizontal="right" vertical="center" wrapText="1"/>
    </xf>
    <xf numFmtId="165" fontId="9" fillId="0" borderId="14" xfId="0" applyNumberFormat="1" applyFont="1" applyBorder="1" applyAlignment="1">
      <alignment horizontal="center" vertical="center" wrapText="1"/>
    </xf>
    <xf numFmtId="165" fontId="9" fillId="0" borderId="21" xfId="0" applyNumberFormat="1" applyFont="1" applyBorder="1" applyAlignment="1">
      <alignment horizontal="center" vertical="center" wrapText="1"/>
    </xf>
    <xf numFmtId="3" fontId="22" fillId="0" borderId="31" xfId="0" applyNumberFormat="1" applyFont="1" applyBorder="1" applyAlignment="1">
      <alignment vertical="center" wrapText="1"/>
    </xf>
    <xf numFmtId="0" fontId="12" fillId="0" borderId="14" xfId="0" applyFont="1" applyBorder="1" applyAlignment="1">
      <alignment horizontal="left" vertical="center"/>
    </xf>
    <xf numFmtId="165" fontId="12" fillId="0" borderId="18" xfId="2" applyNumberFormat="1" applyFont="1" applyBorder="1" applyAlignment="1">
      <alignment horizontal="center" vertical="center" wrapText="1"/>
    </xf>
    <xf numFmtId="165" fontId="12" fillId="0" borderId="20" xfId="2" applyNumberFormat="1" applyFont="1" applyBorder="1" applyAlignment="1">
      <alignment horizontal="center" vertical="center" wrapText="1"/>
    </xf>
    <xf numFmtId="165" fontId="12" fillId="0" borderId="29" xfId="2" applyNumberFormat="1" applyFont="1" applyBorder="1" applyAlignment="1">
      <alignment horizontal="center" vertical="center" wrapText="1"/>
    </xf>
    <xf numFmtId="0" fontId="12" fillId="0" borderId="25" xfId="0" applyFont="1" applyBorder="1" applyAlignment="1">
      <alignment horizontal="right" vertical="center" wrapText="1"/>
    </xf>
    <xf numFmtId="0" fontId="12" fillId="0" borderId="19" xfId="0" applyFont="1" applyBorder="1" applyAlignment="1">
      <alignment horizontal="right" vertical="center" wrapText="1"/>
    </xf>
    <xf numFmtId="10" fontId="12" fillId="0" borderId="25" xfId="2" applyNumberFormat="1" applyFont="1" applyBorder="1" applyAlignment="1">
      <alignment horizontal="center" vertical="center" wrapText="1"/>
    </xf>
    <xf numFmtId="10" fontId="12" fillId="0" borderId="19" xfId="2" applyNumberFormat="1" applyFont="1" applyBorder="1" applyAlignment="1">
      <alignment horizontal="center" vertical="center" wrapText="1"/>
    </xf>
    <xf numFmtId="10" fontId="12" fillId="0" borderId="22" xfId="2" applyNumberFormat="1" applyFont="1" applyBorder="1" applyAlignment="1">
      <alignment horizontal="center" vertical="center" wrapText="1"/>
    </xf>
    <xf numFmtId="0" fontId="12" fillId="0" borderId="15" xfId="0" applyFont="1" applyBorder="1" applyAlignment="1">
      <alignment horizontal="center" vertical="center" wrapText="1"/>
    </xf>
    <xf numFmtId="38" fontId="12" fillId="0" borderId="20" xfId="0" applyNumberFormat="1" applyFont="1" applyBorder="1" applyAlignment="1">
      <alignment horizontal="center" vertical="center" wrapText="1"/>
    </xf>
    <xf numFmtId="38" fontId="12" fillId="0" borderId="15" xfId="0" applyNumberFormat="1" applyFont="1" applyBorder="1" applyAlignment="1">
      <alignment horizontal="center" vertical="center" wrapText="1"/>
    </xf>
    <xf numFmtId="172" fontId="12" fillId="0" borderId="15" xfId="0" applyNumberFormat="1" applyFont="1" applyBorder="1" applyAlignment="1">
      <alignment horizontal="center" vertical="center" wrapText="1"/>
    </xf>
    <xf numFmtId="0" fontId="7" fillId="0" borderId="8" xfId="0" applyFont="1" applyBorder="1" applyAlignment="1">
      <alignment horizontal="center"/>
    </xf>
    <xf numFmtId="0" fontId="7" fillId="0" borderId="12" xfId="0" quotePrefix="1" applyFont="1" applyBorder="1" applyAlignment="1">
      <alignment horizontal="center"/>
    </xf>
    <xf numFmtId="173" fontId="4" fillId="0" borderId="5" xfId="0" applyNumberFormat="1" applyFont="1" applyBorder="1" applyAlignment="1">
      <alignment horizontal="center"/>
    </xf>
    <xf numFmtId="0" fontId="4" fillId="0" borderId="12" xfId="0" quotePrefix="1" applyFont="1" applyBorder="1" applyAlignment="1">
      <alignment horizontal="center"/>
    </xf>
    <xf numFmtId="0" fontId="4" fillId="0" borderId="5" xfId="0" quotePrefix="1" applyFont="1" applyBorder="1" applyAlignment="1">
      <alignment horizontal="center"/>
    </xf>
    <xf numFmtId="0" fontId="39" fillId="0" borderId="8" xfId="0" quotePrefix="1" applyFont="1" applyBorder="1" applyAlignment="1">
      <alignment horizontal="left"/>
    </xf>
    <xf numFmtId="0" fontId="4" fillId="0" borderId="7" xfId="0" applyFont="1" applyBorder="1" applyAlignment="1">
      <alignment horizontal="right"/>
    </xf>
    <xf numFmtId="173" fontId="4" fillId="0" borderId="4" xfId="0" applyNumberFormat="1" applyFont="1" applyBorder="1"/>
    <xf numFmtId="165" fontId="4" fillId="0" borderId="7" xfId="2" applyNumberFormat="1" applyFont="1" applyFill="1" applyBorder="1" applyAlignment="1">
      <alignment horizontal="right"/>
    </xf>
    <xf numFmtId="173" fontId="4" fillId="0" borderId="7" xfId="0" applyNumberFormat="1" applyFont="1" applyBorder="1"/>
    <xf numFmtId="165" fontId="4" fillId="0" borderId="4" xfId="2" applyNumberFormat="1" applyFont="1" applyFill="1" applyBorder="1" applyAlignment="1"/>
    <xf numFmtId="6" fontId="4" fillId="0" borderId="7" xfId="0" quotePrefix="1" applyNumberFormat="1" applyFont="1" applyBorder="1" applyAlignment="1">
      <alignment horizontal="right"/>
    </xf>
    <xf numFmtId="173" fontId="4" fillId="0" borderId="12" xfId="0" applyNumberFormat="1" applyFont="1" applyBorder="1"/>
    <xf numFmtId="0" fontId="4" fillId="0" borderId="7" xfId="0" quotePrefix="1" applyFont="1" applyBorder="1" applyAlignment="1">
      <alignment horizontal="right"/>
    </xf>
    <xf numFmtId="0" fontId="4" fillId="0" borderId="2" xfId="0" quotePrefix="1" applyFont="1" applyBorder="1" applyAlignment="1">
      <alignment horizontal="left"/>
    </xf>
    <xf numFmtId="173" fontId="4" fillId="0" borderId="2" xfId="0" applyNumberFormat="1" applyFont="1" applyBorder="1" applyAlignment="1">
      <alignment horizontal="right"/>
    </xf>
    <xf numFmtId="165" fontId="4" fillId="0" borderId="2" xfId="2" applyNumberFormat="1" applyFont="1" applyFill="1" applyBorder="1" applyAlignment="1">
      <alignment horizontal="right"/>
    </xf>
    <xf numFmtId="165" fontId="4" fillId="0" borderId="10" xfId="2" applyNumberFormat="1" applyFont="1" applyFill="1" applyBorder="1" applyAlignment="1">
      <alignment horizontal="right"/>
    </xf>
    <xf numFmtId="0" fontId="7" fillId="0" borderId="5" xfId="0" quotePrefix="1" applyFont="1" applyBorder="1" applyAlignment="1">
      <alignment horizontal="right"/>
    </xf>
    <xf numFmtId="173" fontId="4" fillId="0" borderId="2" xfId="1" applyNumberFormat="1" applyFont="1" applyFill="1" applyBorder="1" applyAlignment="1">
      <alignment horizontal="right"/>
    </xf>
    <xf numFmtId="165" fontId="4" fillId="0" borderId="7" xfId="2" applyNumberFormat="1" applyFont="1" applyFill="1" applyBorder="1" applyAlignment="1"/>
    <xf numFmtId="173" fontId="4" fillId="0" borderId="5" xfId="0" applyNumberFormat="1" applyFont="1" applyBorder="1"/>
    <xf numFmtId="165" fontId="4" fillId="0" borderId="2" xfId="2" applyNumberFormat="1" applyFont="1" applyFill="1" applyBorder="1" applyAlignment="1"/>
    <xf numFmtId="0" fontId="7" fillId="0" borderId="12" xfId="0" quotePrefix="1" applyFont="1" applyBorder="1" applyAlignment="1">
      <alignment horizontal="right"/>
    </xf>
    <xf numFmtId="173" fontId="4" fillId="0" borderId="2" xfId="0" applyNumberFormat="1" applyFont="1" applyBorder="1"/>
    <xf numFmtId="0" fontId="41" fillId="0" borderId="1" xfId="0" applyFont="1" applyBorder="1"/>
    <xf numFmtId="0" fontId="42" fillId="0" borderId="6" xfId="0" applyFont="1" applyBorder="1"/>
    <xf numFmtId="0" fontId="42" fillId="0" borderId="10" xfId="0" applyFont="1" applyBorder="1"/>
    <xf numFmtId="0" fontId="39" fillId="0" borderId="1" xfId="0" quotePrefix="1" applyFont="1" applyBorder="1" applyAlignment="1">
      <alignment horizontal="left"/>
    </xf>
    <xf numFmtId="173" fontId="4" fillId="0" borderId="1" xfId="0" applyNumberFormat="1" applyFont="1" applyBorder="1"/>
    <xf numFmtId="165" fontId="4" fillId="0" borderId="1" xfId="2" applyNumberFormat="1" applyFont="1" applyFill="1" applyBorder="1" applyAlignment="1">
      <alignment horizontal="center"/>
    </xf>
    <xf numFmtId="165" fontId="4" fillId="0" borderId="2" xfId="2" applyNumberFormat="1" applyFont="1" applyFill="1" applyBorder="1" applyAlignment="1">
      <alignment horizontal="center"/>
    </xf>
    <xf numFmtId="166" fontId="0" fillId="2" borderId="0" xfId="4" applyNumberFormat="1" applyFont="1" applyFill="1"/>
    <xf numFmtId="165" fontId="3" fillId="2" borderId="2" xfId="2" applyNumberFormat="1" applyFont="1" applyFill="1" applyBorder="1" applyAlignment="1">
      <alignment horizontal="right"/>
    </xf>
    <xf numFmtId="165" fontId="0" fillId="2" borderId="2" xfId="2" applyNumberFormat="1" applyFont="1" applyFill="1" applyBorder="1"/>
    <xf numFmtId="0" fontId="37" fillId="6" borderId="15" xfId="0" applyFont="1" applyFill="1" applyBorder="1" applyAlignment="1">
      <alignment horizontal="center" vertical="center"/>
    </xf>
    <xf numFmtId="0" fontId="37" fillId="6" borderId="16" xfId="0" applyFont="1" applyFill="1" applyBorder="1" applyAlignment="1">
      <alignment horizontal="center" vertical="center" wrapText="1"/>
    </xf>
    <xf numFmtId="0" fontId="37" fillId="6" borderId="15" xfId="0" applyFont="1" applyFill="1" applyBorder="1" applyAlignment="1">
      <alignment horizontal="center" vertical="center" wrapText="1"/>
    </xf>
    <xf numFmtId="0" fontId="43" fillId="0" borderId="15" xfId="0" applyFont="1" applyBorder="1" applyAlignment="1">
      <alignment horizontal="left" vertical="center"/>
    </xf>
    <xf numFmtId="165" fontId="12" fillId="0" borderId="29" xfId="0" applyNumberFormat="1" applyFont="1" applyBorder="1" applyAlignment="1">
      <alignment horizontal="center" vertical="center" wrapText="1"/>
    </xf>
    <xf numFmtId="0" fontId="40" fillId="0" borderId="34" xfId="0" applyFont="1" applyBorder="1"/>
    <xf numFmtId="0" fontId="40" fillId="0" borderId="13" xfId="0" applyFont="1" applyBorder="1"/>
    <xf numFmtId="165" fontId="12" fillId="0" borderId="30" xfId="0" applyNumberFormat="1" applyFont="1" applyBorder="1" applyAlignment="1">
      <alignment horizontal="center" vertical="center" wrapText="1"/>
    </xf>
    <xf numFmtId="165" fontId="12" fillId="0" borderId="0" xfId="0" applyNumberFormat="1" applyFont="1" applyAlignment="1">
      <alignment horizontal="center" vertical="center" wrapText="1"/>
    </xf>
    <xf numFmtId="0" fontId="37" fillId="6" borderId="14" xfId="0" applyFont="1" applyFill="1" applyBorder="1" applyAlignment="1">
      <alignment horizontal="center" vertical="center"/>
    </xf>
    <xf numFmtId="0" fontId="37" fillId="6" borderId="18" xfId="0" applyFont="1" applyFill="1" applyBorder="1" applyAlignment="1">
      <alignment horizontal="center" vertical="center" wrapText="1"/>
    </xf>
    <xf numFmtId="0" fontId="37" fillId="6" borderId="14" xfId="0" applyFont="1" applyFill="1" applyBorder="1" applyAlignment="1">
      <alignment horizontal="center" vertical="center" wrapText="1"/>
    </xf>
    <xf numFmtId="165" fontId="12" fillId="0" borderId="18" xfId="0" applyNumberFormat="1" applyFont="1" applyBorder="1" applyAlignment="1">
      <alignment horizontal="center" vertical="center" wrapText="1"/>
    </xf>
    <xf numFmtId="165" fontId="12" fillId="0" borderId="23" xfId="2" applyNumberFormat="1" applyFont="1" applyBorder="1" applyAlignment="1">
      <alignment horizontal="center" vertical="center" wrapText="1"/>
    </xf>
    <xf numFmtId="0" fontId="37" fillId="0" borderId="21" xfId="0" applyFont="1" applyBorder="1" applyAlignment="1">
      <alignment horizontal="left" vertical="center"/>
    </xf>
    <xf numFmtId="0" fontId="37" fillId="6" borderId="30" xfId="0" applyFont="1" applyFill="1" applyBorder="1" applyAlignment="1">
      <alignment horizontal="center" vertical="center" wrapText="1"/>
    </xf>
    <xf numFmtId="165" fontId="12" fillId="0" borderId="24" xfId="0" applyNumberFormat="1" applyFont="1" applyBorder="1" applyAlignment="1">
      <alignment horizontal="center" vertical="center" wrapText="1"/>
    </xf>
    <xf numFmtId="3" fontId="12" fillId="0" borderId="16" xfId="0" applyNumberFormat="1" applyFont="1" applyBorder="1" applyAlignment="1">
      <alignment horizontal="center" vertical="center" wrapText="1"/>
    </xf>
    <xf numFmtId="165" fontId="12" fillId="0" borderId="16" xfId="2" applyNumberFormat="1" applyFont="1" applyBorder="1" applyAlignment="1">
      <alignment horizontal="center" vertical="center" wrapText="1"/>
    </xf>
    <xf numFmtId="0" fontId="37" fillId="0" borderId="15" xfId="0" applyFont="1" applyBorder="1" applyAlignment="1">
      <alignment horizontal="left" vertical="center"/>
    </xf>
    <xf numFmtId="0" fontId="40" fillId="0" borderId="12" xfId="0" applyFont="1" applyBorder="1" applyAlignment="1">
      <alignment wrapText="1"/>
    </xf>
    <xf numFmtId="10" fontId="0" fillId="2" borderId="2" xfId="2" applyNumberFormat="1" applyFont="1" applyFill="1" applyBorder="1"/>
    <xf numFmtId="0" fontId="0" fillId="0" borderId="6" xfId="0" applyBorder="1" applyAlignment="1">
      <alignment horizontal="center"/>
    </xf>
    <xf numFmtId="0" fontId="0" fillId="0" borderId="10" xfId="0" applyBorder="1" applyAlignment="1">
      <alignment horizontal="center"/>
    </xf>
    <xf numFmtId="0" fontId="3" fillId="0" borderId="1" xfId="0" quotePrefix="1" applyFont="1" applyBorder="1" applyAlignment="1">
      <alignment horizontal="center"/>
    </xf>
    <xf numFmtId="0" fontId="3" fillId="0" borderId="10" xfId="0" applyFont="1" applyBorder="1" applyAlignment="1">
      <alignment horizontal="center"/>
    </xf>
    <xf numFmtId="0" fontId="2" fillId="0" borderId="1" xfId="0" quotePrefix="1" applyFont="1" applyBorder="1" applyAlignment="1">
      <alignment horizontal="center"/>
    </xf>
    <xf numFmtId="0" fontId="2" fillId="0" borderId="6" xfId="0" quotePrefix="1" applyFont="1" applyBorder="1" applyAlignment="1">
      <alignment horizontal="center"/>
    </xf>
    <xf numFmtId="0" fontId="2" fillId="0" borderId="10" xfId="0" quotePrefix="1" applyFont="1" applyBorder="1" applyAlignment="1">
      <alignment horizontal="center"/>
    </xf>
    <xf numFmtId="49" fontId="12" fillId="0" borderId="14" xfId="0" applyNumberFormat="1" applyFont="1" applyBorder="1" applyAlignment="1">
      <alignment horizontal="center" vertical="center" wrapText="1"/>
    </xf>
    <xf numFmtId="49" fontId="12" fillId="0" borderId="21" xfId="0" applyNumberFormat="1" applyFont="1" applyBorder="1" applyAlignment="1">
      <alignment horizontal="center" vertical="center" wrapText="1"/>
    </xf>
    <xf numFmtId="165" fontId="9" fillId="0" borderId="14" xfId="0" applyNumberFormat="1" applyFont="1" applyBorder="1" applyAlignment="1">
      <alignment horizontal="center" vertical="center" wrapText="1"/>
    </xf>
    <xf numFmtId="165" fontId="9" fillId="0" borderId="21" xfId="0" applyNumberFormat="1" applyFont="1" applyBorder="1" applyAlignment="1">
      <alignment horizontal="center" vertical="center" wrapText="1"/>
    </xf>
    <xf numFmtId="0" fontId="2" fillId="0" borderId="1" xfId="0" applyFont="1" applyBorder="1" applyAlignment="1">
      <alignment horizontal="center"/>
    </xf>
    <xf numFmtId="0" fontId="0" fillId="0" borderId="0" xfId="0" applyAlignment="1">
      <alignment horizontal="left" wrapText="1"/>
    </xf>
    <xf numFmtId="0" fontId="7" fillId="0" borderId="1" xfId="0" quotePrefix="1" applyFont="1" applyBorder="1" applyAlignment="1">
      <alignment horizontal="center"/>
    </xf>
    <xf numFmtId="0" fontId="7" fillId="0" borderId="6" xfId="0" quotePrefix="1" applyFont="1" applyBorder="1" applyAlignment="1">
      <alignment horizontal="center"/>
    </xf>
    <xf numFmtId="0" fontId="7" fillId="0" borderId="10" xfId="0" quotePrefix="1" applyFont="1" applyBorder="1" applyAlignment="1">
      <alignment horizontal="center"/>
    </xf>
    <xf numFmtId="173" fontId="4" fillId="0" borderId="8" xfId="0" applyNumberFormat="1" applyFont="1" applyBorder="1" applyAlignment="1">
      <alignment horizontal="center"/>
    </xf>
    <xf numFmtId="173" fontId="4" fillId="0" borderId="9" xfId="0" applyNumberFormat="1" applyFont="1" applyBorder="1" applyAlignment="1">
      <alignment horizontal="center"/>
    </xf>
    <xf numFmtId="173" fontId="4" fillId="0" borderId="33" xfId="0" applyNumberFormat="1" applyFont="1" applyBorder="1" applyAlignment="1">
      <alignment horizontal="center"/>
    </xf>
    <xf numFmtId="0" fontId="0" fillId="0" borderId="0" xfId="0" applyAlignment="1">
      <alignment horizontal="center"/>
    </xf>
    <xf numFmtId="0" fontId="2" fillId="0" borderId="2" xfId="0" applyFont="1" applyBorder="1" applyAlignment="1">
      <alignment horizontal="center" wrapText="1"/>
    </xf>
    <xf numFmtId="0" fontId="3" fillId="0" borderId="2" xfId="0" quotePrefix="1" applyFont="1" applyBorder="1" applyAlignment="1">
      <alignment horizontal="center" wrapText="1"/>
    </xf>
    <xf numFmtId="0" fontId="3" fillId="0" borderId="2" xfId="0" applyFont="1" applyBorder="1" applyAlignment="1">
      <alignment horizontal="center" wrapText="1"/>
    </xf>
    <xf numFmtId="0" fontId="3" fillId="0" borderId="2" xfId="0" quotePrefix="1" applyFont="1" applyBorder="1" applyAlignment="1">
      <alignment horizontal="center" vertical="top" wrapText="1"/>
    </xf>
    <xf numFmtId="0" fontId="3" fillId="0" borderId="2" xfId="0" applyFont="1" applyBorder="1" applyAlignment="1">
      <alignment horizontal="center" vertical="top" wrapText="1"/>
    </xf>
    <xf numFmtId="0" fontId="3" fillId="0" borderId="5" xfId="0" quotePrefix="1" applyFont="1" applyBorder="1" applyAlignment="1">
      <alignment horizontal="center" vertical="top" wrapText="1"/>
    </xf>
    <xf numFmtId="49" fontId="9" fillId="0" borderId="14"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0" fontId="33" fillId="0" borderId="19" xfId="0" applyFont="1" applyBorder="1" applyAlignment="1">
      <alignment horizontal="left" vertical="center" wrapText="1"/>
    </xf>
    <xf numFmtId="0" fontId="33" fillId="0" borderId="0" xfId="0" applyFont="1" applyAlignment="1">
      <alignment horizontal="left" vertical="center" wrapText="1"/>
    </xf>
    <xf numFmtId="0" fontId="33" fillId="0" borderId="20" xfId="0" applyFont="1" applyBorder="1" applyAlignment="1">
      <alignment horizontal="left" vertical="center" wrapText="1"/>
    </xf>
    <xf numFmtId="0" fontId="44" fillId="7" borderId="0" xfId="0" applyFont="1" applyFill="1" applyAlignment="1">
      <alignment horizontal="center" vertical="center"/>
    </xf>
    <xf numFmtId="0" fontId="44" fillId="7" borderId="0" xfId="0" applyFont="1" applyFill="1" applyAlignment="1">
      <alignment horizontal="center"/>
    </xf>
    <xf numFmtId="0" fontId="44" fillId="7" borderId="0" xfId="0" applyFont="1" applyFill="1" applyAlignment="1">
      <alignment horizontal="center"/>
    </xf>
    <xf numFmtId="0" fontId="44" fillId="7" borderId="0" xfId="0" applyFont="1" applyFill="1" applyAlignment="1">
      <alignment horizontal="center" wrapText="1"/>
    </xf>
    <xf numFmtId="0" fontId="44" fillId="0" borderId="0" xfId="0" applyFont="1" applyAlignment="1">
      <alignment horizontal="left" vertical="top"/>
    </xf>
    <xf numFmtId="174" fontId="44" fillId="0" borderId="0" xfId="0" applyNumberFormat="1" applyFont="1" applyAlignment="1">
      <alignment horizontal="right"/>
    </xf>
    <xf numFmtId="175" fontId="44" fillId="0" borderId="0" xfId="0" applyNumberFormat="1" applyFont="1" applyAlignment="1">
      <alignment horizontal="right"/>
    </xf>
    <xf numFmtId="0" fontId="0" fillId="8" borderId="0" xfId="0" applyFill="1" applyAlignment="1">
      <alignment horizontal="left"/>
    </xf>
    <xf numFmtId="0" fontId="44" fillId="0" borderId="0" xfId="0" applyFont="1" applyAlignment="1">
      <alignment horizontal="left"/>
    </xf>
    <xf numFmtId="0" fontId="0" fillId="8" borderId="0" xfId="0" applyFill="1" applyAlignment="1">
      <alignment horizontal="left"/>
    </xf>
    <xf numFmtId="174" fontId="44" fillId="0" borderId="0" xfId="0" applyNumberFormat="1" applyFont="1" applyAlignment="1"/>
    <xf numFmtId="175" fontId="44" fillId="0" borderId="0" xfId="0" applyNumberFormat="1" applyFont="1" applyAlignment="1"/>
    <xf numFmtId="164" fontId="0" fillId="0" borderId="0" xfId="0" applyNumberFormat="1"/>
  </cellXfs>
  <cellStyles count="5">
    <cellStyle name="Comma" xfId="4" builtinId="3"/>
    <cellStyle name="Currency" xfId="1" builtinId="4"/>
    <cellStyle name="Hyperlink" xfId="3" builtinId="8"/>
    <cellStyle name="Normal" xfId="0" builtinId="0"/>
    <cellStyle name="Percent" xfId="2" builtinId="5"/>
  </cellStyles>
  <dxfs count="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10</xdr:col>
      <xdr:colOff>449831</xdr:colOff>
      <xdr:row>43</xdr:row>
      <xdr:rowOff>75557</xdr:rowOff>
    </xdr:to>
    <xdr:pic>
      <xdr:nvPicPr>
        <xdr:cNvPr id="3" name="Picture 2">
          <a:extLst>
            <a:ext uri="{FF2B5EF4-FFF2-40B4-BE49-F238E27FC236}">
              <a16:creationId xmlns:a16="http://schemas.microsoft.com/office/drawing/2014/main" id="{9BB4534B-4F62-6856-1A3A-F1D0D40CAB7D}"/>
            </a:ext>
          </a:extLst>
        </xdr:cNvPr>
        <xdr:cNvPicPr>
          <a:picLocks noChangeAspect="1"/>
        </xdr:cNvPicPr>
      </xdr:nvPicPr>
      <xdr:blipFill>
        <a:blip xmlns:r="http://schemas.openxmlformats.org/officeDocument/2006/relationships" r:embed="rId1"/>
        <a:stretch>
          <a:fillRect/>
        </a:stretch>
      </xdr:blipFill>
      <xdr:spPr>
        <a:xfrm>
          <a:off x="0" y="2733675"/>
          <a:ext cx="8152381" cy="51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17</xdr:col>
      <xdr:colOff>430527</xdr:colOff>
      <xdr:row>51</xdr:row>
      <xdr:rowOff>88098</xdr:rowOff>
    </xdr:to>
    <xdr:pic>
      <xdr:nvPicPr>
        <xdr:cNvPr id="3" name="Picture 2">
          <a:extLst>
            <a:ext uri="{FF2B5EF4-FFF2-40B4-BE49-F238E27FC236}">
              <a16:creationId xmlns:a16="http://schemas.microsoft.com/office/drawing/2014/main" id="{6278F045-199E-324B-6061-C92B8B0087BC}"/>
            </a:ext>
          </a:extLst>
        </xdr:cNvPr>
        <xdr:cNvPicPr>
          <a:picLocks noChangeAspect="1"/>
        </xdr:cNvPicPr>
      </xdr:nvPicPr>
      <xdr:blipFill>
        <a:blip xmlns:r="http://schemas.openxmlformats.org/officeDocument/2006/relationships" r:embed="rId1"/>
        <a:stretch>
          <a:fillRect/>
        </a:stretch>
      </xdr:blipFill>
      <xdr:spPr>
        <a:xfrm>
          <a:off x="0" y="2914650"/>
          <a:ext cx="10180952" cy="64190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17</xdr:row>
      <xdr:rowOff>133350</xdr:rowOff>
    </xdr:from>
    <xdr:to>
      <xdr:col>10</xdr:col>
      <xdr:colOff>114171</xdr:colOff>
      <xdr:row>30</xdr:row>
      <xdr:rowOff>142358</xdr:rowOff>
    </xdr:to>
    <xdr:pic>
      <xdr:nvPicPr>
        <xdr:cNvPr id="5" name="Picture 4">
          <a:extLst>
            <a:ext uri="{FF2B5EF4-FFF2-40B4-BE49-F238E27FC236}">
              <a16:creationId xmlns:a16="http://schemas.microsoft.com/office/drawing/2014/main" id="{62177D6C-994D-2E54-9E9A-0EC412929364}"/>
            </a:ext>
          </a:extLst>
        </xdr:cNvPr>
        <xdr:cNvPicPr>
          <a:picLocks noChangeAspect="1"/>
        </xdr:cNvPicPr>
      </xdr:nvPicPr>
      <xdr:blipFill>
        <a:blip xmlns:r="http://schemas.openxmlformats.org/officeDocument/2006/relationships" r:embed="rId1"/>
        <a:stretch>
          <a:fillRect/>
        </a:stretch>
      </xdr:blipFill>
      <xdr:spPr>
        <a:xfrm>
          <a:off x="0" y="3667125"/>
          <a:ext cx="6210171" cy="2361683"/>
        </a:xfrm>
        <a:prstGeom prst="rect">
          <a:avLst/>
        </a:prstGeom>
      </xdr:spPr>
    </xdr:pic>
    <xdr:clientData/>
  </xdr:twoCellAnchor>
  <xdr:twoCellAnchor editAs="oneCell">
    <xdr:from>
      <xdr:col>10</xdr:col>
      <xdr:colOff>190500</xdr:colOff>
      <xdr:row>17</xdr:row>
      <xdr:rowOff>28575</xdr:rowOff>
    </xdr:from>
    <xdr:to>
      <xdr:col>20</xdr:col>
      <xdr:colOff>120911</xdr:colOff>
      <xdr:row>47</xdr:row>
      <xdr:rowOff>56300</xdr:rowOff>
    </xdr:to>
    <xdr:pic>
      <xdr:nvPicPr>
        <xdr:cNvPr id="6" name="Picture 5">
          <a:extLst>
            <a:ext uri="{FF2B5EF4-FFF2-40B4-BE49-F238E27FC236}">
              <a16:creationId xmlns:a16="http://schemas.microsoft.com/office/drawing/2014/main" id="{9AB1AC38-C2B1-1977-D9BE-09F2CD281A6D}"/>
            </a:ext>
          </a:extLst>
        </xdr:cNvPr>
        <xdr:cNvPicPr>
          <a:picLocks noChangeAspect="1"/>
        </xdr:cNvPicPr>
      </xdr:nvPicPr>
      <xdr:blipFill>
        <a:blip xmlns:r="http://schemas.openxmlformats.org/officeDocument/2006/relationships" r:embed="rId2"/>
        <a:stretch>
          <a:fillRect/>
        </a:stretch>
      </xdr:blipFill>
      <xdr:spPr>
        <a:xfrm>
          <a:off x="6286500" y="3562350"/>
          <a:ext cx="6026411" cy="5456975"/>
        </a:xfrm>
        <a:prstGeom prst="rect">
          <a:avLst/>
        </a:prstGeom>
      </xdr:spPr>
    </xdr:pic>
    <xdr:clientData/>
  </xdr:twoCellAnchor>
  <xdr:twoCellAnchor editAs="oneCell">
    <xdr:from>
      <xdr:col>0</xdr:col>
      <xdr:colOff>0</xdr:colOff>
      <xdr:row>52</xdr:row>
      <xdr:rowOff>53975</xdr:rowOff>
    </xdr:from>
    <xdr:to>
      <xdr:col>22</xdr:col>
      <xdr:colOff>398324</xdr:colOff>
      <xdr:row>87</xdr:row>
      <xdr:rowOff>113501</xdr:rowOff>
    </xdr:to>
    <xdr:pic>
      <xdr:nvPicPr>
        <xdr:cNvPr id="7" name="Picture 6">
          <a:extLst>
            <a:ext uri="{FF2B5EF4-FFF2-40B4-BE49-F238E27FC236}">
              <a16:creationId xmlns:a16="http://schemas.microsoft.com/office/drawing/2014/main" id="{6EBBC921-718D-B689-40E0-4721D5AB30A7}"/>
            </a:ext>
          </a:extLst>
        </xdr:cNvPr>
        <xdr:cNvPicPr>
          <a:picLocks noChangeAspect="1"/>
        </xdr:cNvPicPr>
      </xdr:nvPicPr>
      <xdr:blipFill>
        <a:blip xmlns:r="http://schemas.openxmlformats.org/officeDocument/2006/relationships" r:embed="rId3"/>
        <a:stretch>
          <a:fillRect/>
        </a:stretch>
      </xdr:blipFill>
      <xdr:spPr>
        <a:xfrm>
          <a:off x="0" y="9921875"/>
          <a:ext cx="13809524" cy="6393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12</xdr:row>
      <xdr:rowOff>152399</xdr:rowOff>
    </xdr:from>
    <xdr:to>
      <xdr:col>14</xdr:col>
      <xdr:colOff>339768</xdr:colOff>
      <xdr:row>37</xdr:row>
      <xdr:rowOff>94649</xdr:rowOff>
    </xdr:to>
    <xdr:pic>
      <xdr:nvPicPr>
        <xdr:cNvPr id="3" name="Picture 2">
          <a:extLst>
            <a:ext uri="{FF2B5EF4-FFF2-40B4-BE49-F238E27FC236}">
              <a16:creationId xmlns:a16="http://schemas.microsoft.com/office/drawing/2014/main" id="{F9A6BA78-21B7-D73C-2EA5-365AEB5021C7}"/>
            </a:ext>
          </a:extLst>
        </xdr:cNvPr>
        <xdr:cNvPicPr>
          <a:picLocks noChangeAspect="1"/>
        </xdr:cNvPicPr>
      </xdr:nvPicPr>
      <xdr:blipFill>
        <a:blip xmlns:r="http://schemas.openxmlformats.org/officeDocument/2006/relationships" r:embed="rId1"/>
        <a:stretch>
          <a:fillRect/>
        </a:stretch>
      </xdr:blipFill>
      <xdr:spPr>
        <a:xfrm>
          <a:off x="0" y="2343149"/>
          <a:ext cx="8874168" cy="446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6</xdr:col>
      <xdr:colOff>580233</xdr:colOff>
      <xdr:row>50</xdr:row>
      <xdr:rowOff>2451</xdr:rowOff>
    </xdr:to>
    <xdr:pic>
      <xdr:nvPicPr>
        <xdr:cNvPr id="3" name="Picture 2">
          <a:extLst>
            <a:ext uri="{FF2B5EF4-FFF2-40B4-BE49-F238E27FC236}">
              <a16:creationId xmlns:a16="http://schemas.microsoft.com/office/drawing/2014/main" id="{C8E007FC-A05A-EF66-23EF-9D76F49A21F6}"/>
            </a:ext>
          </a:extLst>
        </xdr:cNvPr>
        <xdr:cNvPicPr>
          <a:picLocks noChangeAspect="1"/>
        </xdr:cNvPicPr>
      </xdr:nvPicPr>
      <xdr:blipFill>
        <a:blip xmlns:r="http://schemas.openxmlformats.org/officeDocument/2006/relationships" r:embed="rId1"/>
        <a:stretch>
          <a:fillRect/>
        </a:stretch>
      </xdr:blipFill>
      <xdr:spPr>
        <a:xfrm>
          <a:off x="0" y="3619500"/>
          <a:ext cx="6333333" cy="5790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15</xdr:col>
      <xdr:colOff>163774</xdr:colOff>
      <xdr:row>37</xdr:row>
      <xdr:rowOff>50387</xdr:rowOff>
    </xdr:to>
    <xdr:pic>
      <xdr:nvPicPr>
        <xdr:cNvPr id="2" name="Picture 1">
          <a:extLst>
            <a:ext uri="{FF2B5EF4-FFF2-40B4-BE49-F238E27FC236}">
              <a16:creationId xmlns:a16="http://schemas.microsoft.com/office/drawing/2014/main" id="{5CDCDBC9-C7F9-14FA-6142-8F04337C6751}"/>
            </a:ext>
          </a:extLst>
        </xdr:cNvPr>
        <xdr:cNvPicPr>
          <a:picLocks noChangeAspect="1"/>
        </xdr:cNvPicPr>
      </xdr:nvPicPr>
      <xdr:blipFill>
        <a:blip xmlns:r="http://schemas.openxmlformats.org/officeDocument/2006/relationships" r:embed="rId1"/>
        <a:stretch>
          <a:fillRect/>
        </a:stretch>
      </xdr:blipFill>
      <xdr:spPr>
        <a:xfrm>
          <a:off x="0" y="3705225"/>
          <a:ext cx="10609524" cy="33047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7</xdr:col>
      <xdr:colOff>237308</xdr:colOff>
      <xdr:row>46</xdr:row>
      <xdr:rowOff>170795</xdr:rowOff>
    </xdr:to>
    <xdr:pic>
      <xdr:nvPicPr>
        <xdr:cNvPr id="3" name="Picture 2">
          <a:extLst>
            <a:ext uri="{FF2B5EF4-FFF2-40B4-BE49-F238E27FC236}">
              <a16:creationId xmlns:a16="http://schemas.microsoft.com/office/drawing/2014/main" id="{9925ED6A-E6BC-2C40-1706-0DB5F6A9A821}"/>
            </a:ext>
          </a:extLst>
        </xdr:cNvPr>
        <xdr:cNvPicPr>
          <a:picLocks noChangeAspect="1"/>
        </xdr:cNvPicPr>
      </xdr:nvPicPr>
      <xdr:blipFill>
        <a:blip xmlns:r="http://schemas.openxmlformats.org/officeDocument/2006/relationships" r:embed="rId1"/>
        <a:stretch>
          <a:fillRect/>
        </a:stretch>
      </xdr:blipFill>
      <xdr:spPr>
        <a:xfrm>
          <a:off x="0" y="3257550"/>
          <a:ext cx="6533333" cy="52380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19</xdr:row>
      <xdr:rowOff>161924</xdr:rowOff>
    </xdr:from>
    <xdr:to>
      <xdr:col>16</xdr:col>
      <xdr:colOff>522336</xdr:colOff>
      <xdr:row>41</xdr:row>
      <xdr:rowOff>85216</xdr:rowOff>
    </xdr:to>
    <xdr:pic>
      <xdr:nvPicPr>
        <xdr:cNvPr id="3" name="Picture 2">
          <a:extLst>
            <a:ext uri="{FF2B5EF4-FFF2-40B4-BE49-F238E27FC236}">
              <a16:creationId xmlns:a16="http://schemas.microsoft.com/office/drawing/2014/main" id="{5D6DA915-96F8-1108-3EF7-F309D0B3DDC7}"/>
            </a:ext>
          </a:extLst>
        </xdr:cNvPr>
        <xdr:cNvPicPr>
          <a:picLocks noChangeAspect="1"/>
        </xdr:cNvPicPr>
      </xdr:nvPicPr>
      <xdr:blipFill>
        <a:blip xmlns:r="http://schemas.openxmlformats.org/officeDocument/2006/relationships" r:embed="rId1"/>
        <a:stretch>
          <a:fillRect/>
        </a:stretch>
      </xdr:blipFill>
      <xdr:spPr>
        <a:xfrm>
          <a:off x="1" y="3752849"/>
          <a:ext cx="10272760" cy="39079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olorado.edu/controller/resources/fa-%C2%A0gair-rate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olorado.edu/ocg/annual-repor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www.colorado.edu/controller/resources/fa-%C2%A0gair-rate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cdola.colorado.gov/inflation-denver-aurora-lakewood-consumer-price-index"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colorado.edu/bursar/undergraduate-costs-by-ti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8FCC-3645-4D72-B32C-0AD764525141}">
  <sheetPr>
    <tabColor rgb="FF92D050"/>
  </sheetPr>
  <dimension ref="A1:G26"/>
  <sheetViews>
    <sheetView tabSelected="1" zoomScale="120" zoomScaleNormal="120" workbookViewId="0">
      <selection activeCell="C29" sqref="C29"/>
    </sheetView>
  </sheetViews>
  <sheetFormatPr defaultRowHeight="14.5" x14ac:dyDescent="0.35"/>
  <cols>
    <col min="1" max="1" width="34.1796875" customWidth="1"/>
    <col min="2" max="2" width="13.453125" bestFit="1" customWidth="1"/>
    <col min="3" max="3" width="9.54296875" customWidth="1"/>
    <col min="5" max="5" width="31.7265625" bestFit="1" customWidth="1"/>
    <col min="6" max="6" width="12.81640625" bestFit="1" customWidth="1"/>
    <col min="7" max="7" width="6.26953125" bestFit="1" customWidth="1"/>
    <col min="8" max="8" width="12.81640625" bestFit="1" customWidth="1"/>
    <col min="9" max="9" width="12" bestFit="1" customWidth="1"/>
  </cols>
  <sheetData>
    <row r="1" spans="1:7" x14ac:dyDescent="0.35">
      <c r="A1" t="s">
        <v>53</v>
      </c>
      <c r="B1" s="76">
        <v>25</v>
      </c>
    </row>
    <row r="2" spans="1:7" x14ac:dyDescent="0.35">
      <c r="A2" t="s">
        <v>24</v>
      </c>
      <c r="B2" t="s">
        <v>25</v>
      </c>
    </row>
    <row r="3" spans="1:7" x14ac:dyDescent="0.35">
      <c r="A3" t="s">
        <v>27</v>
      </c>
      <c r="B3" t="s">
        <v>26</v>
      </c>
    </row>
    <row r="5" spans="1:7" ht="15" customHeight="1" x14ac:dyDescent="0.35"/>
    <row r="6" spans="1:7" ht="15" customHeight="1" x14ac:dyDescent="0.35">
      <c r="A6" s="24" t="s">
        <v>22</v>
      </c>
      <c r="B6" s="2" t="str">
        <f>"FY"&amp;$B$1</f>
        <v>FY25</v>
      </c>
      <c r="C6" s="23"/>
      <c r="E6" s="1" t="s">
        <v>0</v>
      </c>
      <c r="F6" s="2" t="str">
        <f>"FY"&amp;$B$1</f>
        <v>FY25</v>
      </c>
      <c r="G6" s="3" t="s">
        <v>2</v>
      </c>
    </row>
    <row r="7" spans="1:7" ht="15" customHeight="1" x14ac:dyDescent="0.35">
      <c r="A7" s="25" t="s">
        <v>17</v>
      </c>
      <c r="B7" s="28">
        <v>50186294</v>
      </c>
      <c r="C7" s="23"/>
      <c r="E7" s="4" t="s">
        <v>3</v>
      </c>
      <c r="F7" s="5">
        <f>B7+B8</f>
        <v>123877357</v>
      </c>
      <c r="G7" s="6">
        <f t="shared" ref="G7:G16" si="0">(F7/$F$16)</f>
        <v>5.0621308292964316E-2</v>
      </c>
    </row>
    <row r="8" spans="1:7" ht="15" customHeight="1" x14ac:dyDescent="0.35">
      <c r="A8" s="25" t="s">
        <v>18</v>
      </c>
      <c r="B8" s="28">
        <v>73691063</v>
      </c>
      <c r="C8" s="23"/>
      <c r="E8" s="7" t="s">
        <v>4</v>
      </c>
      <c r="F8" s="5">
        <f>B9-B7</f>
        <v>1023974539</v>
      </c>
      <c r="G8" s="6">
        <f t="shared" si="0"/>
        <v>0.41843749397127522</v>
      </c>
    </row>
    <row r="9" spans="1:7" ht="15" customHeight="1" x14ac:dyDescent="0.35">
      <c r="A9" s="25" t="s">
        <v>19</v>
      </c>
      <c r="B9" s="29">
        <v>1074160833</v>
      </c>
      <c r="C9" s="20"/>
      <c r="E9" s="7" t="s">
        <v>5</v>
      </c>
      <c r="F9" s="5">
        <f t="shared" ref="F9:F14" si="1">B10</f>
        <v>471863617</v>
      </c>
      <c r="G9" s="6">
        <f t="shared" si="0"/>
        <v>0.19282259653303901</v>
      </c>
    </row>
    <row r="10" spans="1:7" ht="15" customHeight="1" x14ac:dyDescent="0.35">
      <c r="A10" s="25" t="s">
        <v>5</v>
      </c>
      <c r="B10" s="29">
        <v>471863617</v>
      </c>
      <c r="C10" s="20"/>
      <c r="E10" s="8" t="s">
        <v>6</v>
      </c>
      <c r="F10" s="5">
        <f t="shared" si="1"/>
        <v>160273453</v>
      </c>
      <c r="G10" s="6">
        <f t="shared" si="0"/>
        <v>6.5494228097641174E-2</v>
      </c>
    </row>
    <row r="11" spans="1:7" ht="15" customHeight="1" x14ac:dyDescent="0.35">
      <c r="A11" s="26" t="s">
        <v>6</v>
      </c>
      <c r="B11" s="29">
        <f>90581034+69692419</f>
        <v>160273453</v>
      </c>
      <c r="C11" s="20"/>
      <c r="E11" s="7" t="s">
        <v>7</v>
      </c>
      <c r="F11" s="5">
        <f t="shared" si="1"/>
        <v>146287833</v>
      </c>
      <c r="G11" s="6">
        <f t="shared" si="0"/>
        <v>5.9779136987905539E-2</v>
      </c>
    </row>
    <row r="12" spans="1:7" ht="15" customHeight="1" x14ac:dyDescent="0.35">
      <c r="A12" s="25" t="s">
        <v>7</v>
      </c>
      <c r="B12" s="29">
        <f>242635855+7139594-B13</f>
        <v>146287833</v>
      </c>
      <c r="C12" s="20"/>
      <c r="E12" s="8" t="s">
        <v>8</v>
      </c>
      <c r="F12" s="5">
        <f t="shared" si="1"/>
        <v>103487616</v>
      </c>
      <c r="G12" s="6">
        <f t="shared" si="0"/>
        <v>4.2289233810823931E-2</v>
      </c>
    </row>
    <row r="13" spans="1:7" ht="15" customHeight="1" x14ac:dyDescent="0.35">
      <c r="A13" s="26" t="s">
        <v>8</v>
      </c>
      <c r="B13" s="29">
        <v>103487616</v>
      </c>
      <c r="C13" s="20"/>
      <c r="E13" s="8" t="s">
        <v>9</v>
      </c>
      <c r="F13" s="5">
        <f t="shared" si="1"/>
        <v>42377628</v>
      </c>
      <c r="G13" s="6">
        <f t="shared" si="0"/>
        <v>1.7317216185945561E-2</v>
      </c>
    </row>
    <row r="14" spans="1:7" ht="15" customHeight="1" x14ac:dyDescent="0.35">
      <c r="A14" s="26" t="s">
        <v>9</v>
      </c>
      <c r="B14" s="29">
        <v>42377628</v>
      </c>
      <c r="C14" s="20"/>
      <c r="E14" s="9" t="s">
        <v>10</v>
      </c>
      <c r="F14" s="5">
        <f t="shared" si="1"/>
        <v>333705988</v>
      </c>
      <c r="G14" s="6">
        <f t="shared" si="0"/>
        <v>0.13636579038214586</v>
      </c>
    </row>
    <row r="15" spans="1:7" ht="15" customHeight="1" x14ac:dyDescent="0.35">
      <c r="A15" s="27" t="s">
        <v>10</v>
      </c>
      <c r="B15" s="29">
        <v>333705988</v>
      </c>
      <c r="C15" s="20"/>
      <c r="E15" s="10" t="s">
        <v>11</v>
      </c>
      <c r="F15" s="5">
        <f>B16+B17</f>
        <v>41290559</v>
      </c>
      <c r="G15" s="6">
        <f t="shared" si="0"/>
        <v>1.6872995738259351E-2</v>
      </c>
    </row>
    <row r="16" spans="1:7" ht="15" customHeight="1" x14ac:dyDescent="0.35">
      <c r="A16" s="27" t="s">
        <v>20</v>
      </c>
      <c r="B16" s="29">
        <v>41288059</v>
      </c>
      <c r="C16" s="20"/>
      <c r="E16" s="11" t="s">
        <v>12</v>
      </c>
      <c r="F16" s="12">
        <f>SUM(F7:F15)</f>
        <v>2447138590</v>
      </c>
      <c r="G16" s="13">
        <f t="shared" si="0"/>
        <v>1</v>
      </c>
    </row>
    <row r="17" spans="1:7" ht="15" customHeight="1" x14ac:dyDescent="0.35">
      <c r="A17" s="27" t="s">
        <v>21</v>
      </c>
      <c r="B17" s="29">
        <v>2500</v>
      </c>
      <c r="C17" s="20"/>
      <c r="E17" s="14" t="s">
        <v>13</v>
      </c>
      <c r="F17" s="15"/>
      <c r="G17" s="16"/>
    </row>
    <row r="18" spans="1:7" ht="15" customHeight="1" x14ac:dyDescent="0.35">
      <c r="A18" s="19"/>
      <c r="B18" s="5"/>
      <c r="C18" s="20"/>
      <c r="E18" s="31" t="s">
        <v>14</v>
      </c>
      <c r="F18" s="32">
        <v>1150559970</v>
      </c>
      <c r="G18" s="33">
        <f>F18/$F$21</f>
        <v>0.47016543104736869</v>
      </c>
    </row>
    <row r="19" spans="1:7" ht="15" customHeight="1" x14ac:dyDescent="0.35">
      <c r="A19" s="22"/>
      <c r="B19" s="5"/>
      <c r="C19" s="20"/>
      <c r="E19" s="17" t="s">
        <v>15</v>
      </c>
      <c r="F19" s="30">
        <v>574937054</v>
      </c>
      <c r="G19" s="6">
        <f>F19/$F$21</f>
        <v>0.23494258001954846</v>
      </c>
    </row>
    <row r="20" spans="1:7" ht="15" customHeight="1" x14ac:dyDescent="0.35">
      <c r="E20" s="17" t="s">
        <v>16</v>
      </c>
      <c r="F20" s="30">
        <v>721641566</v>
      </c>
      <c r="G20" s="6">
        <f>F20/$F$21</f>
        <v>0.29489198893308288</v>
      </c>
    </row>
    <row r="21" spans="1:7" ht="15" customHeight="1" x14ac:dyDescent="0.35">
      <c r="B21" s="499"/>
      <c r="E21" s="18" t="s">
        <v>12</v>
      </c>
      <c r="F21" s="12">
        <f>SUM(F18:F20)</f>
        <v>2447138590</v>
      </c>
      <c r="G21" s="13">
        <f>F21/$F$21</f>
        <v>1</v>
      </c>
    </row>
    <row r="22" spans="1:7" ht="15" customHeight="1" x14ac:dyDescent="0.35"/>
    <row r="23" spans="1:7" x14ac:dyDescent="0.35">
      <c r="E23" s="18" t="s">
        <v>23</v>
      </c>
      <c r="F23" s="456" t="b">
        <f>ROUNDUP(F16,0)=ROUNDUP(F21,0)</f>
        <v>1</v>
      </c>
      <c r="G23" s="457"/>
    </row>
    <row r="24" spans="1:7" x14ac:dyDescent="0.35">
      <c r="A24" s="21"/>
      <c r="B24" s="5"/>
      <c r="C24" s="20"/>
    </row>
    <row r="25" spans="1:7" x14ac:dyDescent="0.35">
      <c r="A25" s="21"/>
      <c r="B25" s="5"/>
      <c r="C25" s="20"/>
    </row>
    <row r="26" spans="1:7" x14ac:dyDescent="0.35">
      <c r="A26" s="22"/>
      <c r="B26" s="5"/>
      <c r="C26" s="20"/>
    </row>
  </sheetData>
  <mergeCells count="1">
    <mergeCell ref="F23:G23"/>
  </mergeCells>
  <conditionalFormatting sqref="F23">
    <cfRule type="cellIs" dxfId="4" priority="1" operator="equal">
      <formula>TRUE</formula>
    </cfRule>
    <cfRule type="containsText" dxfId="3" priority="2" operator="containsText" text="FALSE">
      <formula>NOT(ISERROR(SEARCH("FALSE",F23)))</formula>
    </cfRule>
  </conditionalFormatting>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3E5E0-5EF8-43E6-8A9D-8A79C201CA55}">
  <sheetPr>
    <tabColor rgb="FF92D050"/>
  </sheetPr>
  <dimension ref="A1:T1048576"/>
  <sheetViews>
    <sheetView workbookViewId="0">
      <selection activeCell="G12" sqref="G12"/>
    </sheetView>
  </sheetViews>
  <sheetFormatPr defaultRowHeight="14.5" x14ac:dyDescent="0.35"/>
  <cols>
    <col min="18" max="18" width="10.453125" bestFit="1" customWidth="1"/>
    <col min="19" max="19" width="8.26953125" bestFit="1" customWidth="1"/>
    <col min="20" max="20" width="11.81640625" bestFit="1" customWidth="1"/>
  </cols>
  <sheetData>
    <row r="1" spans="1:20" x14ac:dyDescent="0.35">
      <c r="A1" t="s">
        <v>24</v>
      </c>
    </row>
    <row r="2" spans="1:20" x14ac:dyDescent="0.35">
      <c r="A2" t="s">
        <v>27</v>
      </c>
    </row>
    <row r="3" spans="1:20" x14ac:dyDescent="0.35">
      <c r="A3" t="s">
        <v>61</v>
      </c>
      <c r="B3" t="s">
        <v>143</v>
      </c>
    </row>
    <row r="5" spans="1:20" x14ac:dyDescent="0.35">
      <c r="P5" s="83"/>
      <c r="Q5" s="83" t="s">
        <v>171</v>
      </c>
      <c r="R5" s="83" t="s">
        <v>172</v>
      </c>
      <c r="S5" s="83" t="s">
        <v>173</v>
      </c>
      <c r="T5" s="83" t="s">
        <v>174</v>
      </c>
    </row>
    <row r="6" spans="1:20" x14ac:dyDescent="0.35">
      <c r="A6" s="476" t="s">
        <v>160</v>
      </c>
      <c r="B6" s="476"/>
      <c r="C6" s="140" t="str">
        <f>"Fall 20"&amp;Revenue!B1-2</f>
        <v>Fall 2023</v>
      </c>
      <c r="D6" s="477" t="str">
        <f>"Fall 20"&amp;Revenue!B1-1</f>
        <v>Fall 2024</v>
      </c>
      <c r="E6" s="478"/>
      <c r="F6" s="35" t="s">
        <v>161</v>
      </c>
      <c r="G6" s="35" t="s">
        <v>162</v>
      </c>
      <c r="P6" s="83" t="s">
        <v>122</v>
      </c>
      <c r="Q6" s="149">
        <v>16623</v>
      </c>
      <c r="R6" s="149">
        <v>12888</v>
      </c>
      <c r="S6" s="149">
        <v>3786</v>
      </c>
      <c r="T6" s="149">
        <v>2600</v>
      </c>
    </row>
    <row r="7" spans="1:20" x14ac:dyDescent="0.35">
      <c r="A7" s="476"/>
      <c r="B7" s="476"/>
      <c r="C7" s="52" t="s">
        <v>163</v>
      </c>
      <c r="D7" s="52" t="s">
        <v>163</v>
      </c>
      <c r="E7" s="35" t="s">
        <v>164</v>
      </c>
      <c r="F7" s="141" t="s">
        <v>165</v>
      </c>
      <c r="G7" s="141" t="s">
        <v>165</v>
      </c>
      <c r="P7" s="83" t="s">
        <v>123</v>
      </c>
      <c r="Q7" s="149">
        <v>16668</v>
      </c>
      <c r="R7" s="149">
        <v>12915</v>
      </c>
      <c r="S7" s="149">
        <v>3683</v>
      </c>
      <c r="T7" s="149">
        <v>2856</v>
      </c>
    </row>
    <row r="8" spans="1:20" x14ac:dyDescent="0.35">
      <c r="A8" s="479" t="s">
        <v>166</v>
      </c>
      <c r="B8" s="142" t="s">
        <v>167</v>
      </c>
      <c r="C8" s="143">
        <f>VLOOKUP($C$6,$P:$T,2,FALSE)</f>
        <v>17569</v>
      </c>
      <c r="D8" s="143">
        <f>VLOOKUP($D$6,$P:$T,2,FALSE)</f>
        <v>18280</v>
      </c>
      <c r="E8" s="144">
        <f>D8/$D$10</f>
        <v>0.57234102507905693</v>
      </c>
      <c r="F8" s="145">
        <f>D8-C8</f>
        <v>711</v>
      </c>
      <c r="G8" s="146">
        <f>F8/C8</f>
        <v>4.0469007911662587E-2</v>
      </c>
      <c r="P8" s="83" t="s">
        <v>142</v>
      </c>
      <c r="Q8" s="149">
        <v>17569</v>
      </c>
      <c r="R8" s="149">
        <v>13138</v>
      </c>
      <c r="S8" s="149">
        <v>3619</v>
      </c>
      <c r="T8" s="149">
        <v>2827</v>
      </c>
    </row>
    <row r="9" spans="1:20" x14ac:dyDescent="0.35">
      <c r="A9" s="480"/>
      <c r="B9" s="147" t="s">
        <v>168</v>
      </c>
      <c r="C9" s="143">
        <f>VLOOKUP($C$6,$P:$T,3,FALSE)</f>
        <v>13138</v>
      </c>
      <c r="D9" s="143">
        <f>VLOOKUP($D$6,$P:$T,3,FALSE)</f>
        <v>13659</v>
      </c>
      <c r="E9" s="144">
        <f>D9/$D$10</f>
        <v>0.42765897492094307</v>
      </c>
      <c r="F9" s="145">
        <f t="shared" ref="F9:F16" si="0">D9-C9</f>
        <v>521</v>
      </c>
      <c r="G9" s="146">
        <f t="shared" ref="G9:G16" si="1">F9/C9</f>
        <v>3.9655959811234584E-2</v>
      </c>
      <c r="P9" s="83" t="s">
        <v>134</v>
      </c>
      <c r="Q9" s="149">
        <v>18280</v>
      </c>
      <c r="R9" s="149">
        <v>13659</v>
      </c>
      <c r="S9" s="149">
        <v>3728</v>
      </c>
      <c r="T9" s="149">
        <v>2761</v>
      </c>
    </row>
    <row r="10" spans="1:20" x14ac:dyDescent="0.35">
      <c r="A10" s="480"/>
      <c r="B10" s="147" t="s">
        <v>94</v>
      </c>
      <c r="C10" s="143">
        <f>C8+C9</f>
        <v>30707</v>
      </c>
      <c r="D10" s="143">
        <f>D8+D9</f>
        <v>31939</v>
      </c>
      <c r="E10" s="144">
        <f>SUM(E8:E9)</f>
        <v>1</v>
      </c>
      <c r="F10" s="145">
        <f t="shared" si="0"/>
        <v>1232</v>
      </c>
      <c r="G10" s="146">
        <f t="shared" si="1"/>
        <v>4.0121145015794446E-2</v>
      </c>
      <c r="P10" s="83" t="s">
        <v>135</v>
      </c>
      <c r="Q10" s="149"/>
      <c r="R10" s="86"/>
      <c r="S10" s="86"/>
      <c r="T10" s="86"/>
    </row>
    <row r="11" spans="1:20" x14ac:dyDescent="0.35">
      <c r="A11" s="479" t="s">
        <v>169</v>
      </c>
      <c r="B11" s="142" t="s">
        <v>167</v>
      </c>
      <c r="C11" s="143">
        <f>VLOOKUP($C$6,$P:$T,4,FALSE)</f>
        <v>3619</v>
      </c>
      <c r="D11" s="143">
        <f>VLOOKUP($D$6,$P:$T,4,FALSE)</f>
        <v>3728</v>
      </c>
      <c r="E11" s="144">
        <f>D11/$D$13</f>
        <v>0.57451071043304058</v>
      </c>
      <c r="F11" s="145">
        <f t="shared" si="0"/>
        <v>109</v>
      </c>
      <c r="G11" s="146">
        <f t="shared" si="1"/>
        <v>3.0118817352859907E-2</v>
      </c>
      <c r="P11" s="83" t="s">
        <v>136</v>
      </c>
      <c r="Q11" s="149"/>
      <c r="R11" s="86"/>
      <c r="S11" s="86"/>
      <c r="T11" s="86"/>
    </row>
    <row r="12" spans="1:20" x14ac:dyDescent="0.35">
      <c r="A12" s="480"/>
      <c r="B12" s="147" t="s">
        <v>168</v>
      </c>
      <c r="C12" s="143">
        <f>VLOOKUP($C$6,$P:$T,5,FALSE)</f>
        <v>2827</v>
      </c>
      <c r="D12" s="143">
        <f>VLOOKUP($D$6,$P:$T,5,FALSE)</f>
        <v>2761</v>
      </c>
      <c r="E12" s="144">
        <f>D12/$D$13</f>
        <v>0.42548928956695947</v>
      </c>
      <c r="F12" s="145">
        <f t="shared" si="0"/>
        <v>-66</v>
      </c>
      <c r="G12" s="146">
        <f t="shared" si="1"/>
        <v>-2.3346303501945526E-2</v>
      </c>
      <c r="P12" s="83" t="s">
        <v>137</v>
      </c>
      <c r="Q12" s="149"/>
      <c r="R12" s="86"/>
      <c r="S12" s="86"/>
      <c r="T12" s="86"/>
    </row>
    <row r="13" spans="1:20" x14ac:dyDescent="0.35">
      <c r="A13" s="480"/>
      <c r="B13" s="147" t="s">
        <v>94</v>
      </c>
      <c r="C13" s="143">
        <f>C11+C12</f>
        <v>6446</v>
      </c>
      <c r="D13" s="143">
        <f>D11+D12</f>
        <v>6489</v>
      </c>
      <c r="E13" s="144">
        <f>SUM(E11:E12)</f>
        <v>1</v>
      </c>
      <c r="F13" s="145">
        <f t="shared" si="0"/>
        <v>43</v>
      </c>
      <c r="G13" s="146">
        <f t="shared" si="1"/>
        <v>6.6708035991312441E-3</v>
      </c>
      <c r="P13" s="83" t="s">
        <v>138</v>
      </c>
      <c r="Q13" s="149"/>
      <c r="R13" s="86"/>
      <c r="S13" s="86"/>
      <c r="T13" s="86"/>
    </row>
    <row r="14" spans="1:20" x14ac:dyDescent="0.35">
      <c r="A14" s="481" t="s">
        <v>170</v>
      </c>
      <c r="B14" s="148" t="s">
        <v>167</v>
      </c>
      <c r="C14" s="143">
        <f>C8+C11</f>
        <v>21188</v>
      </c>
      <c r="D14" s="143">
        <f>D8+D11</f>
        <v>22008</v>
      </c>
      <c r="E14" s="144">
        <f>D14/$D$16</f>
        <v>0.57270740085354432</v>
      </c>
      <c r="F14" s="145">
        <f t="shared" si="0"/>
        <v>820</v>
      </c>
      <c r="G14" s="146">
        <f t="shared" si="1"/>
        <v>3.8701151595242587E-2</v>
      </c>
      <c r="P14" s="83" t="s">
        <v>139</v>
      </c>
      <c r="Q14" s="149"/>
      <c r="R14" s="86"/>
      <c r="S14" s="86"/>
      <c r="T14" s="86"/>
    </row>
    <row r="15" spans="1:20" x14ac:dyDescent="0.35">
      <c r="A15" s="480"/>
      <c r="B15" s="147" t="s">
        <v>168</v>
      </c>
      <c r="C15" s="143">
        <f>C9+C12</f>
        <v>15965</v>
      </c>
      <c r="D15" s="143">
        <f>D9+D12</f>
        <v>16420</v>
      </c>
      <c r="E15" s="144">
        <f>D15/$D$16</f>
        <v>0.42729259914645573</v>
      </c>
      <c r="F15" s="145">
        <f t="shared" si="0"/>
        <v>455</v>
      </c>
      <c r="G15" s="146">
        <f t="shared" si="1"/>
        <v>2.8499843407453804E-2</v>
      </c>
      <c r="P15" s="83" t="s">
        <v>140</v>
      </c>
      <c r="Q15" s="149"/>
      <c r="R15" s="86"/>
      <c r="S15" s="86"/>
      <c r="T15" s="86"/>
    </row>
    <row r="16" spans="1:20" x14ac:dyDescent="0.35">
      <c r="A16" s="480"/>
      <c r="B16" s="147" t="s">
        <v>94</v>
      </c>
      <c r="C16" s="143">
        <f>C14+C15</f>
        <v>37153</v>
      </c>
      <c r="D16" s="143">
        <f>D14+D15</f>
        <v>38428</v>
      </c>
      <c r="E16" s="144">
        <f>SUM(E14:E15)</f>
        <v>1</v>
      </c>
      <c r="F16" s="145">
        <f t="shared" si="0"/>
        <v>1275</v>
      </c>
      <c r="G16" s="146">
        <f t="shared" si="1"/>
        <v>3.4317551745484884E-2</v>
      </c>
    </row>
    <row r="17" spans="1:7" ht="26.15" customHeight="1" x14ac:dyDescent="0.35">
      <c r="A17" s="150"/>
      <c r="B17" s="11" t="s">
        <v>23</v>
      </c>
      <c r="C17" s="83" t="b">
        <f>C16='Student Statistics (Headcount)'!B8</f>
        <v>1</v>
      </c>
      <c r="D17" s="83" t="b">
        <f>D16='Student Statistics (Headcount)'!C8</f>
        <v>1</v>
      </c>
      <c r="E17" s="151"/>
      <c r="F17" s="151"/>
      <c r="G17" s="152"/>
    </row>
    <row r="19" spans="1:7" x14ac:dyDescent="0.35">
      <c r="A19" t="s">
        <v>39</v>
      </c>
    </row>
    <row r="1048576" spans="3:3" x14ac:dyDescent="0.35">
      <c r="C1048576" s="143"/>
    </row>
  </sheetData>
  <mergeCells count="5">
    <mergeCell ref="A6:B7"/>
    <mergeCell ref="D6:E6"/>
    <mergeCell ref="A8:A10"/>
    <mergeCell ref="A11:A13"/>
    <mergeCell ref="A14:A16"/>
  </mergeCells>
  <conditionalFormatting sqref="C17">
    <cfRule type="containsText" dxfId="2" priority="4" operator="containsText" text="TRUE">
      <formula>NOT(ISERROR(SEARCH("TRUE",C17)))</formula>
    </cfRule>
  </conditionalFormatting>
  <conditionalFormatting sqref="C17:D17">
    <cfRule type="containsText" dxfId="1" priority="2" operator="containsText" text="FALSE">
      <formula>NOT(ISERROR(SEARCH("FALSE",C17)))</formula>
    </cfRule>
  </conditionalFormatting>
  <conditionalFormatting sqref="D17">
    <cfRule type="containsText" dxfId="0" priority="1" operator="containsText" text="TRUE">
      <formula>NOT(ISERROR(SEARCH("TRUE",D17)))</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B4FA7-6AA1-4551-8A80-B09AEAF69B0F}">
  <sheetPr>
    <tabColor rgb="FF92D050"/>
  </sheetPr>
  <dimension ref="A1:E77"/>
  <sheetViews>
    <sheetView topLeftCell="A23" workbookViewId="0">
      <selection activeCell="K55" sqref="K55"/>
    </sheetView>
  </sheetViews>
  <sheetFormatPr defaultRowHeight="14.5" x14ac:dyDescent="0.35"/>
  <cols>
    <col min="1" max="1" width="40.26953125" bestFit="1" customWidth="1"/>
  </cols>
  <sheetData>
    <row r="1" spans="1:5" x14ac:dyDescent="0.35">
      <c r="A1" t="s">
        <v>24</v>
      </c>
    </row>
    <row r="2" spans="1:5" x14ac:dyDescent="0.35">
      <c r="A2" t="s">
        <v>27</v>
      </c>
    </row>
    <row r="3" spans="1:5" x14ac:dyDescent="0.35">
      <c r="A3" t="s">
        <v>61</v>
      </c>
      <c r="B3" t="s">
        <v>143</v>
      </c>
    </row>
    <row r="6" spans="1:5" x14ac:dyDescent="0.35">
      <c r="A6" s="153" t="s">
        <v>175</v>
      </c>
      <c r="B6" s="158"/>
      <c r="C6" s="158"/>
      <c r="D6" s="158"/>
      <c r="E6" s="161"/>
    </row>
    <row r="7" spans="1:5" ht="21.5" x14ac:dyDescent="0.35">
      <c r="A7" s="153" t="str">
        <f>"Fall 20"&amp;Revenue!$B$1-1&amp;" Credit Hours"</f>
        <v>Fall 2024 Credit Hours</v>
      </c>
      <c r="B7" s="35" t="s">
        <v>176</v>
      </c>
      <c r="C7" s="35" t="s">
        <v>177</v>
      </c>
      <c r="D7" s="35" t="s">
        <v>178</v>
      </c>
      <c r="E7" s="35" t="s">
        <v>179</v>
      </c>
    </row>
    <row r="8" spans="1:5" x14ac:dyDescent="0.35">
      <c r="A8" s="154" t="s">
        <v>180</v>
      </c>
      <c r="B8" s="163">
        <v>8055</v>
      </c>
      <c r="C8" s="164">
        <v>13.6</v>
      </c>
      <c r="D8" s="165">
        <v>5980</v>
      </c>
      <c r="E8" s="164">
        <v>14.1</v>
      </c>
    </row>
    <row r="9" spans="1:5" x14ac:dyDescent="0.35">
      <c r="A9" s="155" t="s">
        <v>181</v>
      </c>
      <c r="B9" s="166">
        <v>2561</v>
      </c>
      <c r="C9" s="167">
        <v>14.5</v>
      </c>
      <c r="D9" s="168">
        <v>1966</v>
      </c>
      <c r="E9" s="167">
        <v>14.8</v>
      </c>
    </row>
    <row r="10" spans="1:5" x14ac:dyDescent="0.35">
      <c r="A10" s="155" t="s">
        <v>182</v>
      </c>
      <c r="B10" s="166">
        <v>1039</v>
      </c>
      <c r="C10" s="167">
        <v>13.9</v>
      </c>
      <c r="D10" s="168">
        <v>1508</v>
      </c>
      <c r="E10" s="167">
        <v>14.3</v>
      </c>
    </row>
    <row r="11" spans="1:5" x14ac:dyDescent="0.35">
      <c r="A11" s="155" t="s">
        <v>183</v>
      </c>
      <c r="B11" s="166">
        <v>162</v>
      </c>
      <c r="C11" s="167">
        <v>14.5</v>
      </c>
      <c r="D11" s="168">
        <v>135</v>
      </c>
      <c r="E11" s="167">
        <v>14.4</v>
      </c>
    </row>
    <row r="12" spans="1:5" x14ac:dyDescent="0.35">
      <c r="A12" s="155" t="s">
        <v>184</v>
      </c>
      <c r="B12" s="166">
        <v>4124</v>
      </c>
      <c r="C12" s="167">
        <v>14.1</v>
      </c>
      <c r="D12" s="168">
        <v>2443</v>
      </c>
      <c r="E12" s="167">
        <v>14.4</v>
      </c>
    </row>
    <row r="13" spans="1:5" x14ac:dyDescent="0.35">
      <c r="A13" s="155" t="s">
        <v>185</v>
      </c>
      <c r="B13" s="166">
        <v>352</v>
      </c>
      <c r="C13" s="167">
        <v>14.6</v>
      </c>
      <c r="D13" s="168">
        <v>331</v>
      </c>
      <c r="E13" s="167">
        <v>15.3</v>
      </c>
    </row>
    <row r="14" spans="1:5" x14ac:dyDescent="0.35">
      <c r="A14" s="155" t="s">
        <v>186</v>
      </c>
      <c r="B14" s="166">
        <v>1820</v>
      </c>
      <c r="C14" s="167">
        <v>13.7</v>
      </c>
      <c r="D14" s="168">
        <v>1213</v>
      </c>
      <c r="E14" s="167">
        <v>14.1</v>
      </c>
    </row>
    <row r="15" spans="1:5" x14ac:dyDescent="0.35">
      <c r="A15" s="155" t="s">
        <v>187</v>
      </c>
      <c r="B15" s="166">
        <v>167</v>
      </c>
      <c r="C15" s="167">
        <v>14.6</v>
      </c>
      <c r="D15" s="168">
        <v>83</v>
      </c>
      <c r="E15" s="167">
        <v>15.2</v>
      </c>
    </row>
    <row r="16" spans="1:5" x14ac:dyDescent="0.35">
      <c r="A16" s="155" t="s">
        <v>188</v>
      </c>
      <c r="B16" s="166">
        <v>182</v>
      </c>
      <c r="C16" s="167">
        <v>6.6</v>
      </c>
      <c r="D16" s="168">
        <v>68</v>
      </c>
      <c r="E16" s="167">
        <v>6.5</v>
      </c>
    </row>
    <row r="17" spans="1:5" x14ac:dyDescent="0.35">
      <c r="A17" s="156" t="s">
        <v>189</v>
      </c>
      <c r="B17" s="169">
        <v>43</v>
      </c>
      <c r="C17" s="170">
        <v>1.8</v>
      </c>
      <c r="D17" s="171">
        <v>12</v>
      </c>
      <c r="E17" s="172">
        <v>2.2999999999999998</v>
      </c>
    </row>
    <row r="18" spans="1:5" x14ac:dyDescent="0.35">
      <c r="A18" s="157" t="s">
        <v>190</v>
      </c>
      <c r="B18" s="177">
        <f>SUM(B8:B17)</f>
        <v>18505</v>
      </c>
      <c r="C18" s="174">
        <v>13.8</v>
      </c>
      <c r="D18" s="178">
        <f>SUM(D8:D17)</f>
        <v>13739</v>
      </c>
      <c r="E18" s="175">
        <v>14.3</v>
      </c>
    </row>
    <row r="19" spans="1:5" x14ac:dyDescent="0.35">
      <c r="A19" s="153" t="s">
        <v>191</v>
      </c>
      <c r="B19" s="159"/>
      <c r="C19" s="159"/>
      <c r="D19" s="159"/>
      <c r="E19" s="162"/>
    </row>
    <row r="20" spans="1:5" ht="21.5" x14ac:dyDescent="0.35">
      <c r="A20" s="153" t="str">
        <f>"Fall 20"&amp;Revenue!$B$1-1&amp;" Credit Hours"</f>
        <v>Fall 2024 Credit Hours</v>
      </c>
      <c r="B20" s="160" t="s">
        <v>176</v>
      </c>
      <c r="C20" s="160" t="s">
        <v>179</v>
      </c>
      <c r="D20" s="160" t="s">
        <v>178</v>
      </c>
      <c r="E20" s="160" t="s">
        <v>179</v>
      </c>
    </row>
    <row r="21" spans="1:5" x14ac:dyDescent="0.35">
      <c r="A21" s="154" t="s">
        <v>180</v>
      </c>
      <c r="B21" s="166">
        <v>1420</v>
      </c>
      <c r="C21" s="167">
        <v>7.3</v>
      </c>
      <c r="D21" s="166">
        <v>754</v>
      </c>
      <c r="E21" s="167">
        <v>7.7</v>
      </c>
    </row>
    <row r="22" spans="1:5" x14ac:dyDescent="0.35">
      <c r="A22" s="155" t="s">
        <v>181</v>
      </c>
      <c r="B22" s="166">
        <v>245</v>
      </c>
      <c r="C22" s="167">
        <v>11.6</v>
      </c>
      <c r="D22" s="166">
        <v>206</v>
      </c>
      <c r="E22" s="167">
        <v>12.5</v>
      </c>
    </row>
    <row r="23" spans="1:5" x14ac:dyDescent="0.35">
      <c r="A23" s="155" t="s">
        <v>182</v>
      </c>
      <c r="B23" s="166">
        <v>91</v>
      </c>
      <c r="C23" s="167">
        <v>7.9</v>
      </c>
      <c r="D23" s="166">
        <v>86</v>
      </c>
      <c r="E23" s="167">
        <v>8.6999999999999993</v>
      </c>
    </row>
    <row r="24" spans="1:5" x14ac:dyDescent="0.35">
      <c r="A24" s="155" t="s">
        <v>183</v>
      </c>
      <c r="B24" s="166">
        <v>125</v>
      </c>
      <c r="C24" s="167">
        <v>8</v>
      </c>
      <c r="D24" s="166">
        <v>23</v>
      </c>
      <c r="E24" s="167">
        <v>10.7</v>
      </c>
    </row>
    <row r="25" spans="1:5" x14ac:dyDescent="0.35">
      <c r="A25" s="155" t="s">
        <v>184</v>
      </c>
      <c r="B25" s="166">
        <v>1272</v>
      </c>
      <c r="C25" s="167">
        <v>6.1</v>
      </c>
      <c r="D25" s="166">
        <v>1242</v>
      </c>
      <c r="E25" s="167">
        <v>6.9</v>
      </c>
    </row>
    <row r="26" spans="1:5" x14ac:dyDescent="0.35">
      <c r="A26" s="155" t="s">
        <v>192</v>
      </c>
      <c r="B26" s="166">
        <v>66</v>
      </c>
      <c r="C26" s="167">
        <v>6.4</v>
      </c>
      <c r="D26" s="166">
        <v>239</v>
      </c>
      <c r="E26" s="167">
        <v>7.6</v>
      </c>
    </row>
    <row r="27" spans="1:5" x14ac:dyDescent="0.35">
      <c r="A27" s="155" t="s">
        <v>193</v>
      </c>
      <c r="B27" s="166">
        <v>395</v>
      </c>
      <c r="C27" s="167">
        <v>15.1</v>
      </c>
      <c r="D27" s="166">
        <v>151</v>
      </c>
      <c r="E27" s="167">
        <v>15.1</v>
      </c>
    </row>
    <row r="28" spans="1:5" x14ac:dyDescent="0.35">
      <c r="A28" s="155" t="s">
        <v>187</v>
      </c>
      <c r="B28" s="166">
        <v>114</v>
      </c>
      <c r="C28" s="167">
        <v>8</v>
      </c>
      <c r="D28" s="166">
        <v>60</v>
      </c>
      <c r="E28" s="167">
        <v>5.7</v>
      </c>
    </row>
    <row r="29" spans="1:5" x14ac:dyDescent="0.35">
      <c r="A29" s="155" t="s">
        <v>188</v>
      </c>
      <c r="B29" s="166">
        <v>32</v>
      </c>
      <c r="C29" s="167">
        <v>4.0999999999999996</v>
      </c>
      <c r="D29" s="166">
        <v>21</v>
      </c>
      <c r="E29" s="167">
        <v>3.1</v>
      </c>
    </row>
    <row r="30" spans="1:5" x14ac:dyDescent="0.35">
      <c r="A30" s="156" t="s">
        <v>189</v>
      </c>
      <c r="B30" s="173">
        <v>10</v>
      </c>
      <c r="C30" s="167">
        <v>3.1</v>
      </c>
      <c r="D30" s="173">
        <v>3</v>
      </c>
      <c r="E30" s="172">
        <v>3</v>
      </c>
    </row>
    <row r="31" spans="1:5" x14ac:dyDescent="0.35">
      <c r="A31" s="156" t="s">
        <v>194</v>
      </c>
      <c r="B31" s="179">
        <f>SUM(B21:B30)</f>
        <v>3770</v>
      </c>
      <c r="C31" s="176">
        <v>8</v>
      </c>
      <c r="D31" s="179">
        <v>2785</v>
      </c>
      <c r="E31" s="172">
        <v>8.1</v>
      </c>
    </row>
    <row r="32" spans="1:5" x14ac:dyDescent="0.35">
      <c r="A32" s="153" t="s">
        <v>195</v>
      </c>
      <c r="B32" s="180">
        <f>B18+B31</f>
        <v>22275</v>
      </c>
      <c r="C32" s="176">
        <v>12.8</v>
      </c>
      <c r="D32" s="181">
        <f>D18+D31</f>
        <v>16524</v>
      </c>
      <c r="E32" s="176">
        <v>13.2</v>
      </c>
    </row>
    <row r="42" spans="1:5" x14ac:dyDescent="0.35">
      <c r="A42" t="s">
        <v>39</v>
      </c>
    </row>
    <row r="44" spans="1:5" x14ac:dyDescent="0.35">
      <c r="A44" s="487"/>
      <c r="B44" s="488" t="s">
        <v>244</v>
      </c>
      <c r="C44" s="488"/>
      <c r="D44" s="488"/>
      <c r="E44" s="488"/>
    </row>
    <row r="45" spans="1:5" x14ac:dyDescent="0.35">
      <c r="A45" s="487"/>
      <c r="B45" s="488" t="s">
        <v>295</v>
      </c>
      <c r="C45" s="488"/>
      <c r="D45" s="488" t="s">
        <v>296</v>
      </c>
      <c r="E45" s="488"/>
    </row>
    <row r="46" spans="1:5" x14ac:dyDescent="0.35">
      <c r="A46" s="487"/>
      <c r="B46" s="488" t="s">
        <v>297</v>
      </c>
      <c r="C46" s="489" t="s">
        <v>298</v>
      </c>
      <c r="D46" s="488" t="s">
        <v>297</v>
      </c>
      <c r="E46" s="489" t="s">
        <v>298</v>
      </c>
    </row>
    <row r="47" spans="1:5" ht="24" x14ac:dyDescent="0.35">
      <c r="A47" s="487"/>
      <c r="B47" s="488"/>
      <c r="C47" s="490" t="s">
        <v>299</v>
      </c>
      <c r="D47" s="488"/>
      <c r="E47" s="490" t="s">
        <v>299</v>
      </c>
    </row>
    <row r="48" spans="1:5" x14ac:dyDescent="0.35">
      <c r="A48" s="491" t="s">
        <v>300</v>
      </c>
      <c r="B48" s="497"/>
    </row>
    <row r="49" spans="1:5" x14ac:dyDescent="0.35">
      <c r="A49" s="491" t="s">
        <v>301</v>
      </c>
      <c r="B49" s="497">
        <v>8055</v>
      </c>
      <c r="C49" s="498">
        <v>13.6</v>
      </c>
      <c r="D49" s="497">
        <v>5980</v>
      </c>
      <c r="E49" s="498">
        <v>14.1</v>
      </c>
    </row>
    <row r="50" spans="1:5" x14ac:dyDescent="0.35">
      <c r="A50" s="491" t="s">
        <v>302</v>
      </c>
      <c r="B50" s="492">
        <v>2561</v>
      </c>
      <c r="C50" s="493">
        <v>14.5</v>
      </c>
      <c r="D50" s="492">
        <v>1966</v>
      </c>
      <c r="E50" s="493">
        <v>14.8</v>
      </c>
    </row>
    <row r="51" spans="1:5" x14ac:dyDescent="0.35">
      <c r="A51" s="491" t="s">
        <v>303</v>
      </c>
      <c r="B51" s="492">
        <v>1039</v>
      </c>
      <c r="C51" s="493">
        <v>13.9</v>
      </c>
      <c r="D51" s="492">
        <v>1508</v>
      </c>
      <c r="E51" s="493">
        <v>14.3</v>
      </c>
    </row>
    <row r="52" spans="1:5" x14ac:dyDescent="0.35">
      <c r="A52" s="491" t="s">
        <v>304</v>
      </c>
      <c r="B52" s="492">
        <v>162</v>
      </c>
      <c r="C52" s="493">
        <v>14.5</v>
      </c>
      <c r="D52" s="492">
        <v>135</v>
      </c>
      <c r="E52" s="493">
        <v>14.4</v>
      </c>
    </row>
    <row r="53" spans="1:5" x14ac:dyDescent="0.35">
      <c r="A53" s="491" t="s">
        <v>305</v>
      </c>
      <c r="B53" s="492">
        <v>4124</v>
      </c>
      <c r="C53" s="493">
        <v>14.1</v>
      </c>
      <c r="D53" s="492">
        <v>2443</v>
      </c>
      <c r="E53" s="493">
        <v>14.4</v>
      </c>
    </row>
    <row r="54" spans="1:5" x14ac:dyDescent="0.35">
      <c r="A54" s="491" t="s">
        <v>306</v>
      </c>
      <c r="B54" s="492">
        <v>352</v>
      </c>
      <c r="C54" s="493">
        <v>14.6</v>
      </c>
      <c r="D54" s="492">
        <v>331</v>
      </c>
      <c r="E54" s="493">
        <v>15.3</v>
      </c>
    </row>
    <row r="55" spans="1:5" x14ac:dyDescent="0.35">
      <c r="A55" s="491" t="s">
        <v>307</v>
      </c>
      <c r="B55" s="492">
        <v>1820</v>
      </c>
      <c r="C55" s="493">
        <v>13.7</v>
      </c>
      <c r="D55" s="492">
        <v>1213</v>
      </c>
      <c r="E55" s="493">
        <v>14.1</v>
      </c>
    </row>
    <row r="56" spans="1:5" x14ac:dyDescent="0.35">
      <c r="A56" s="491" t="s">
        <v>308</v>
      </c>
      <c r="B56" s="492">
        <v>167</v>
      </c>
      <c r="C56" s="493">
        <v>14.6</v>
      </c>
      <c r="D56" s="492">
        <v>83</v>
      </c>
      <c r="E56" s="493">
        <v>15.2</v>
      </c>
    </row>
    <row r="57" spans="1:5" x14ac:dyDescent="0.35">
      <c r="A57" s="491" t="s">
        <v>309</v>
      </c>
      <c r="B57" s="492">
        <v>182</v>
      </c>
      <c r="C57" s="493">
        <v>6.6</v>
      </c>
      <c r="D57" s="492">
        <v>68</v>
      </c>
      <c r="E57" s="493">
        <v>6.5</v>
      </c>
    </row>
    <row r="58" spans="1:5" x14ac:dyDescent="0.35">
      <c r="A58" s="491" t="s">
        <v>310</v>
      </c>
      <c r="B58" s="492">
        <v>43</v>
      </c>
      <c r="C58" s="493">
        <v>1.8</v>
      </c>
      <c r="D58" s="492">
        <v>12</v>
      </c>
      <c r="E58" s="493">
        <v>2.2999999999999998</v>
      </c>
    </row>
    <row r="59" spans="1:5" x14ac:dyDescent="0.35">
      <c r="A59" s="491" t="s">
        <v>50</v>
      </c>
      <c r="B59" s="492">
        <v>18505</v>
      </c>
      <c r="C59" s="493">
        <v>13.8</v>
      </c>
      <c r="D59" s="492">
        <v>13739</v>
      </c>
      <c r="E59" s="493">
        <v>14.3</v>
      </c>
    </row>
    <row r="60" spans="1:5" x14ac:dyDescent="0.35">
      <c r="A60" s="494"/>
      <c r="B60" s="494"/>
      <c r="C60" s="494"/>
      <c r="D60" s="494"/>
      <c r="E60" s="494"/>
    </row>
    <row r="61" spans="1:5" x14ac:dyDescent="0.35">
      <c r="A61" s="495" t="s">
        <v>311</v>
      </c>
      <c r="B61" s="496"/>
      <c r="C61" s="496"/>
      <c r="D61" s="496"/>
      <c r="E61" s="496"/>
    </row>
    <row r="62" spans="1:5" x14ac:dyDescent="0.35">
      <c r="A62" s="487"/>
      <c r="B62" s="488" t="s">
        <v>244</v>
      </c>
      <c r="C62" s="488"/>
      <c r="D62" s="488"/>
      <c r="E62" s="488"/>
    </row>
    <row r="63" spans="1:5" x14ac:dyDescent="0.35">
      <c r="A63" s="487"/>
      <c r="B63" s="488" t="s">
        <v>295</v>
      </c>
      <c r="C63" s="488"/>
      <c r="D63" s="488" t="s">
        <v>296</v>
      </c>
      <c r="E63" s="488"/>
    </row>
    <row r="64" spans="1:5" x14ac:dyDescent="0.35">
      <c r="A64" s="487"/>
      <c r="B64" s="488" t="s">
        <v>297</v>
      </c>
      <c r="C64" s="489" t="s">
        <v>298</v>
      </c>
      <c r="D64" s="488" t="s">
        <v>297</v>
      </c>
      <c r="E64" s="489" t="s">
        <v>298</v>
      </c>
    </row>
    <row r="65" spans="1:5" ht="24" x14ac:dyDescent="0.35">
      <c r="A65" s="487"/>
      <c r="B65" s="488"/>
      <c r="C65" s="490" t="s">
        <v>299</v>
      </c>
      <c r="D65" s="488"/>
      <c r="E65" s="490" t="s">
        <v>299</v>
      </c>
    </row>
    <row r="66" spans="1:5" x14ac:dyDescent="0.35">
      <c r="A66" s="491" t="s">
        <v>300</v>
      </c>
    </row>
    <row r="67" spans="1:5" x14ac:dyDescent="0.35">
      <c r="A67" s="491" t="s">
        <v>301</v>
      </c>
      <c r="B67" s="497">
        <v>1420</v>
      </c>
      <c r="C67" s="498">
        <v>7.3</v>
      </c>
      <c r="D67" s="497">
        <v>754</v>
      </c>
      <c r="E67" s="498">
        <v>7.7</v>
      </c>
    </row>
    <row r="68" spans="1:5" x14ac:dyDescent="0.35">
      <c r="A68" s="491" t="s">
        <v>302</v>
      </c>
      <c r="B68" s="492">
        <v>245</v>
      </c>
      <c r="C68" s="493">
        <v>11.6</v>
      </c>
      <c r="D68" s="492">
        <v>206</v>
      </c>
      <c r="E68" s="493">
        <v>12.5</v>
      </c>
    </row>
    <row r="69" spans="1:5" x14ac:dyDescent="0.35">
      <c r="A69" s="491" t="s">
        <v>303</v>
      </c>
      <c r="B69" s="492">
        <v>91</v>
      </c>
      <c r="C69" s="493">
        <v>7.9</v>
      </c>
      <c r="D69" s="492">
        <v>86</v>
      </c>
      <c r="E69" s="493">
        <v>8.6999999999999993</v>
      </c>
    </row>
    <row r="70" spans="1:5" x14ac:dyDescent="0.35">
      <c r="A70" s="491" t="s">
        <v>304</v>
      </c>
      <c r="B70" s="492">
        <v>125</v>
      </c>
      <c r="C70" s="493">
        <v>8</v>
      </c>
      <c r="D70" s="492">
        <v>23</v>
      </c>
      <c r="E70" s="493">
        <v>10.7</v>
      </c>
    </row>
    <row r="71" spans="1:5" x14ac:dyDescent="0.35">
      <c r="A71" s="491" t="s">
        <v>305</v>
      </c>
      <c r="B71" s="492">
        <v>1272</v>
      </c>
      <c r="C71" s="493">
        <v>6.1</v>
      </c>
      <c r="D71" s="492">
        <v>1242</v>
      </c>
      <c r="E71" s="493">
        <v>6.9</v>
      </c>
    </row>
    <row r="72" spans="1:5" x14ac:dyDescent="0.35">
      <c r="A72" s="491" t="s">
        <v>312</v>
      </c>
      <c r="B72" s="492">
        <v>66</v>
      </c>
      <c r="C72" s="493">
        <v>6.4</v>
      </c>
      <c r="D72" s="492">
        <v>239</v>
      </c>
      <c r="E72" s="493">
        <v>7.6</v>
      </c>
    </row>
    <row r="73" spans="1:5" x14ac:dyDescent="0.35">
      <c r="A73" s="491" t="s">
        <v>313</v>
      </c>
      <c r="B73" s="492">
        <v>395</v>
      </c>
      <c r="C73" s="493">
        <v>15.1</v>
      </c>
      <c r="D73" s="492">
        <v>151</v>
      </c>
      <c r="E73" s="493">
        <v>15.1</v>
      </c>
    </row>
    <row r="74" spans="1:5" x14ac:dyDescent="0.35">
      <c r="A74" s="491" t="s">
        <v>308</v>
      </c>
      <c r="B74" s="492">
        <v>114</v>
      </c>
      <c r="C74" s="493">
        <v>8</v>
      </c>
      <c r="D74" s="492">
        <v>60</v>
      </c>
      <c r="E74" s="493">
        <v>5.7</v>
      </c>
    </row>
    <row r="75" spans="1:5" x14ac:dyDescent="0.35">
      <c r="A75" s="491" t="s">
        <v>309</v>
      </c>
      <c r="B75" s="492">
        <v>32</v>
      </c>
      <c r="C75" s="493">
        <v>4.0999999999999996</v>
      </c>
      <c r="D75" s="492">
        <v>21</v>
      </c>
      <c r="E75" s="493">
        <v>3.1</v>
      </c>
    </row>
    <row r="76" spans="1:5" x14ac:dyDescent="0.35">
      <c r="A76" s="491" t="s">
        <v>310</v>
      </c>
      <c r="B76" s="492">
        <v>10</v>
      </c>
      <c r="C76" s="493">
        <v>3.1</v>
      </c>
      <c r="D76" s="492">
        <v>3</v>
      </c>
      <c r="E76" s="493">
        <v>3</v>
      </c>
    </row>
    <row r="77" spans="1:5" x14ac:dyDescent="0.35">
      <c r="A77" s="491" t="s">
        <v>50</v>
      </c>
      <c r="B77" s="492">
        <v>3770</v>
      </c>
      <c r="C77" s="493">
        <v>8</v>
      </c>
      <c r="D77" s="492">
        <v>2785</v>
      </c>
      <c r="E77" s="493">
        <v>8.1</v>
      </c>
    </row>
  </sheetData>
  <mergeCells count="13">
    <mergeCell ref="D64:D65"/>
    <mergeCell ref="A61:E61"/>
    <mergeCell ref="A62:A65"/>
    <mergeCell ref="B62:E62"/>
    <mergeCell ref="B63:C63"/>
    <mergeCell ref="D63:E63"/>
    <mergeCell ref="B64:B65"/>
    <mergeCell ref="A44:A47"/>
    <mergeCell ref="B44:E44"/>
    <mergeCell ref="B45:C45"/>
    <mergeCell ref="D45:E45"/>
    <mergeCell ref="B46:B47"/>
    <mergeCell ref="D46:D47"/>
  </mergeCell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04928-F9C1-4DE6-936B-EB81C53D6C27}">
  <dimension ref="A1:R175"/>
  <sheetViews>
    <sheetView topLeftCell="A66" workbookViewId="0">
      <selection activeCell="C81" sqref="C81:I81"/>
    </sheetView>
  </sheetViews>
  <sheetFormatPr defaultColWidth="9.1796875" defaultRowHeight="14.5" x14ac:dyDescent="0.35"/>
  <cols>
    <col min="1" max="1" width="23.7265625" bestFit="1" customWidth="1"/>
    <col min="2" max="2" width="1.81640625" customWidth="1"/>
    <col min="3" max="3" width="30.54296875" customWidth="1"/>
    <col min="4" max="4" width="14" style="77" customWidth="1"/>
    <col min="5" max="5" width="15.7265625" style="77" customWidth="1"/>
    <col min="6" max="6" width="11.1796875" style="77" customWidth="1"/>
    <col min="7" max="7" width="20" style="77" customWidth="1"/>
    <col min="8" max="8" width="19.26953125" style="77" customWidth="1"/>
    <col min="9" max="9" width="11.1796875" style="77" customWidth="1"/>
    <col min="10" max="10" width="28.54296875" style="77" bestFit="1" customWidth="1"/>
    <col min="11" max="11" width="15.1796875" customWidth="1"/>
    <col min="12" max="12" width="9" customWidth="1"/>
    <col min="16" max="16" width="37.1796875" bestFit="1" customWidth="1"/>
    <col min="17" max="17" width="17.7265625" bestFit="1" customWidth="1"/>
  </cols>
  <sheetData>
    <row r="1" spans="1:18" x14ac:dyDescent="0.35">
      <c r="A1" t="s">
        <v>196</v>
      </c>
      <c r="C1" s="182" t="s">
        <v>314</v>
      </c>
    </row>
    <row r="2" spans="1:18" ht="15" thickBot="1" x14ac:dyDescent="0.4"/>
    <row r="3" spans="1:18" ht="15" thickBot="1" x14ac:dyDescent="0.4">
      <c r="C3" s="106" t="s">
        <v>197</v>
      </c>
      <c r="D3" s="68" t="str">
        <f>"FY"&amp;Revenue!$B$1</f>
        <v>FY25</v>
      </c>
      <c r="E3" s="69" t="s">
        <v>2</v>
      </c>
      <c r="J3" s="184"/>
      <c r="K3" s="185"/>
      <c r="L3" s="185"/>
    </row>
    <row r="4" spans="1:18" x14ac:dyDescent="0.35">
      <c r="C4" s="70" t="s">
        <v>198</v>
      </c>
      <c r="D4" s="354">
        <f>Revenue!F7</f>
        <v>123877357</v>
      </c>
      <c r="E4" s="352">
        <f>Revenue!G7</f>
        <v>5.0621308292964316E-2</v>
      </c>
      <c r="G4" s="186"/>
      <c r="H4" s="187"/>
      <c r="J4" s="188"/>
      <c r="K4" s="189"/>
      <c r="L4" s="190"/>
      <c r="Q4" s="191"/>
      <c r="R4" s="192"/>
    </row>
    <row r="5" spans="1:18" x14ac:dyDescent="0.35">
      <c r="C5" s="351" t="s">
        <v>4</v>
      </c>
      <c r="D5" s="354">
        <f>Revenue!F8</f>
        <v>1023974539</v>
      </c>
      <c r="E5" s="352">
        <f>Revenue!G8</f>
        <v>0.41843749397127522</v>
      </c>
      <c r="J5" s="193"/>
      <c r="K5" s="189"/>
      <c r="L5" s="190"/>
      <c r="Q5" s="191"/>
      <c r="R5" s="192"/>
    </row>
    <row r="6" spans="1:18" x14ac:dyDescent="0.35">
      <c r="C6" s="351" t="s">
        <v>199</v>
      </c>
      <c r="D6" s="354">
        <f>Revenue!F9</f>
        <v>471863617</v>
      </c>
      <c r="E6" s="352">
        <f>Revenue!G9</f>
        <v>0.19282259653303901</v>
      </c>
      <c r="F6" s="194"/>
      <c r="J6" s="193"/>
      <c r="K6" s="195"/>
      <c r="L6" s="190"/>
      <c r="Q6" s="191"/>
      <c r="R6" s="192"/>
    </row>
    <row r="7" spans="1:18" x14ac:dyDescent="0.35">
      <c r="C7" s="351" t="s">
        <v>6</v>
      </c>
      <c r="D7" s="354">
        <f>Revenue!F10</f>
        <v>160273453</v>
      </c>
      <c r="E7" s="352">
        <f>Revenue!G10</f>
        <v>6.5494228097641174E-2</v>
      </c>
      <c r="G7" s="187"/>
      <c r="J7" s="193"/>
      <c r="K7" s="195"/>
      <c r="L7" s="190"/>
      <c r="Q7" s="191"/>
      <c r="R7" s="192"/>
    </row>
    <row r="8" spans="1:18" x14ac:dyDescent="0.35">
      <c r="C8" s="351" t="s">
        <v>7</v>
      </c>
      <c r="D8" s="354">
        <f>Revenue!F11</f>
        <v>146287833</v>
      </c>
      <c r="E8" s="352">
        <f>Revenue!G11</f>
        <v>5.9779136987905539E-2</v>
      </c>
      <c r="J8" s="193"/>
      <c r="K8" s="196"/>
      <c r="L8" s="190"/>
      <c r="Q8" s="191"/>
      <c r="R8" s="192"/>
    </row>
    <row r="9" spans="1:18" x14ac:dyDescent="0.35">
      <c r="C9" s="70" t="s">
        <v>8</v>
      </c>
      <c r="D9" s="354">
        <f>Revenue!F12</f>
        <v>103487616</v>
      </c>
      <c r="E9" s="352">
        <f>Revenue!G12</f>
        <v>4.2289233810823931E-2</v>
      </c>
      <c r="G9" s="197"/>
      <c r="J9" s="188"/>
      <c r="K9" s="196"/>
      <c r="L9" s="190"/>
      <c r="Q9" s="191"/>
      <c r="R9" s="192"/>
    </row>
    <row r="10" spans="1:18" x14ac:dyDescent="0.35">
      <c r="C10" s="256" t="s">
        <v>200</v>
      </c>
      <c r="D10" s="354">
        <f>Revenue!F13</f>
        <v>42377628</v>
      </c>
      <c r="E10" s="352">
        <f>Revenue!G13</f>
        <v>1.7317216185945561E-2</v>
      </c>
      <c r="J10" s="198"/>
      <c r="K10" s="195"/>
      <c r="L10" s="190"/>
      <c r="Q10" s="191"/>
      <c r="R10" s="192"/>
    </row>
    <row r="11" spans="1:18" x14ac:dyDescent="0.35">
      <c r="C11" s="351" t="s">
        <v>10</v>
      </c>
      <c r="D11" s="354">
        <f>Revenue!F14</f>
        <v>333705988</v>
      </c>
      <c r="E11" s="352">
        <f>Revenue!G14</f>
        <v>0.13636579038214586</v>
      </c>
      <c r="J11" s="193"/>
      <c r="K11" s="195"/>
      <c r="L11" s="190"/>
      <c r="Q11" s="191"/>
      <c r="R11" s="192"/>
    </row>
    <row r="12" spans="1:18" ht="15" thickBot="1" x14ac:dyDescent="0.4">
      <c r="C12" s="351" t="s">
        <v>11</v>
      </c>
      <c r="D12" s="354">
        <f>Revenue!F15</f>
        <v>41290559</v>
      </c>
      <c r="E12" s="352">
        <f>Revenue!G15</f>
        <v>1.6872995738259351E-2</v>
      </c>
      <c r="J12" s="193"/>
      <c r="K12" s="195"/>
      <c r="L12" s="190"/>
      <c r="Q12" s="191"/>
      <c r="R12" s="192"/>
    </row>
    <row r="13" spans="1:18" ht="15" thickBot="1" x14ac:dyDescent="0.4">
      <c r="C13" s="199" t="s">
        <v>12</v>
      </c>
      <c r="D13" s="355">
        <f>Revenue!F16</f>
        <v>2447138590</v>
      </c>
      <c r="E13" s="353">
        <f>Revenue!G16</f>
        <v>1</v>
      </c>
      <c r="J13" s="200"/>
      <c r="K13" s="189"/>
      <c r="L13" s="190"/>
      <c r="Q13" s="191"/>
      <c r="R13" s="192"/>
    </row>
    <row r="14" spans="1:18" ht="15" thickBot="1" x14ac:dyDescent="0.4">
      <c r="C14" s="201"/>
      <c r="D14" s="202"/>
      <c r="E14" s="190"/>
      <c r="J14" s="203"/>
      <c r="K14" s="202"/>
      <c r="L14" s="190"/>
      <c r="Q14" s="191"/>
      <c r="R14" s="192"/>
    </row>
    <row r="15" spans="1:18" ht="15" thickBot="1" x14ac:dyDescent="0.4">
      <c r="C15" s="106" t="s">
        <v>201</v>
      </c>
      <c r="D15" s="68" t="str">
        <f>"FY"&amp;Revenue!$B$1</f>
        <v>FY25</v>
      </c>
      <c r="E15" s="204" t="s">
        <v>2</v>
      </c>
      <c r="J15" s="184"/>
      <c r="K15" s="185"/>
      <c r="L15" s="185"/>
      <c r="Q15" s="191"/>
      <c r="R15" s="192"/>
    </row>
    <row r="16" spans="1:18" x14ac:dyDescent="0.35">
      <c r="C16" s="70" t="s">
        <v>14</v>
      </c>
      <c r="D16" s="354">
        <f>Revenue!F18</f>
        <v>1150559970</v>
      </c>
      <c r="E16" s="205">
        <f>Revenue!G18</f>
        <v>0.47016543104736869</v>
      </c>
      <c r="J16" s="188"/>
      <c r="K16" s="206"/>
      <c r="L16" s="190"/>
      <c r="Q16" s="191"/>
      <c r="R16" s="192"/>
    </row>
    <row r="17" spans="3:18" x14ac:dyDescent="0.35">
      <c r="C17" s="70" t="s">
        <v>15</v>
      </c>
      <c r="D17" s="354">
        <f>Revenue!F19</f>
        <v>574937054</v>
      </c>
      <c r="E17" s="205">
        <f>Revenue!G19</f>
        <v>0.23494258001954846</v>
      </c>
      <c r="J17" s="188"/>
      <c r="K17" s="195"/>
      <c r="L17" s="190"/>
      <c r="Q17" s="191"/>
      <c r="R17" s="192"/>
    </row>
    <row r="18" spans="3:18" ht="15" thickBot="1" x14ac:dyDescent="0.4">
      <c r="C18" s="70" t="s">
        <v>16</v>
      </c>
      <c r="D18" s="354">
        <f>Revenue!F20</f>
        <v>721641566</v>
      </c>
      <c r="E18" s="205">
        <f>Revenue!G20</f>
        <v>0.29489198893308288</v>
      </c>
      <c r="J18" s="188"/>
      <c r="K18" s="195"/>
      <c r="L18" s="190"/>
      <c r="Q18" s="191"/>
      <c r="R18" s="192"/>
    </row>
    <row r="19" spans="3:18" ht="15" thickBot="1" x14ac:dyDescent="0.4">
      <c r="C19" s="199" t="s">
        <v>12</v>
      </c>
      <c r="D19" s="355">
        <f>Revenue!F21</f>
        <v>2447138590</v>
      </c>
      <c r="E19" s="356">
        <f>Revenue!G21</f>
        <v>1</v>
      </c>
      <c r="J19" s="200"/>
      <c r="K19" s="195"/>
      <c r="L19" s="207"/>
    </row>
    <row r="20" spans="3:18" ht="15" thickBot="1" x14ac:dyDescent="0.4">
      <c r="C20" s="208"/>
    </row>
    <row r="21" spans="3:18" ht="21.5" thickBot="1" x14ac:dyDescent="0.4">
      <c r="C21" s="106" t="s">
        <v>71</v>
      </c>
      <c r="D21" s="68" t="s">
        <v>72</v>
      </c>
      <c r="E21" s="68" t="s">
        <v>57</v>
      </c>
      <c r="F21" s="68" t="s">
        <v>70</v>
      </c>
      <c r="G21" s="68" t="s">
        <v>73</v>
      </c>
      <c r="H21" s="69" t="s">
        <v>74</v>
      </c>
    </row>
    <row r="22" spans="3:18" ht="15" thickBot="1" x14ac:dyDescent="0.4">
      <c r="C22" s="70" t="str">
        <f>'State Appropriations'!A6</f>
        <v>2022-23 fee for service</v>
      </c>
      <c r="D22" s="98">
        <f>'State Appropriations'!B6</f>
        <v>55.03</v>
      </c>
      <c r="E22" s="101"/>
      <c r="F22" s="357"/>
      <c r="G22" s="359" t="str">
        <f>'State Appropriations'!E6</f>
        <v>2018</v>
      </c>
      <c r="H22" s="210">
        <f>'State Appropriations'!F6</f>
        <v>2.8000000000000001E-2</v>
      </c>
    </row>
    <row r="23" spans="3:18" ht="15" thickBot="1" x14ac:dyDescent="0.4">
      <c r="C23" s="70" t="str">
        <f>'State Appropriations'!A7</f>
        <v>2022-23 College Opportunity Fund (COF)</v>
      </c>
      <c r="D23" s="98">
        <f>'State Appropriations'!B7</f>
        <v>47.35</v>
      </c>
      <c r="E23" s="101"/>
      <c r="F23" s="357"/>
      <c r="G23" s="359" t="str">
        <f>'State Appropriations'!E7</f>
        <v>2019</v>
      </c>
      <c r="H23" s="210">
        <f>'State Appropriations'!F7</f>
        <v>3.4000000000000002E-2</v>
      </c>
      <c r="I23" s="211"/>
    </row>
    <row r="24" spans="3:18" ht="15" thickBot="1" x14ac:dyDescent="0.4">
      <c r="C24" s="70" t="str">
        <f>'State Appropriations'!A8</f>
        <v>2022-23 Total</v>
      </c>
      <c r="D24" s="99">
        <f>'State Appropriations'!B8</f>
        <v>102.38</v>
      </c>
      <c r="E24" s="102">
        <f>'State Appropriations'!C8</f>
        <v>3.6679376556680528E-2</v>
      </c>
      <c r="F24" s="112">
        <f>'State Appropriations'!D8</f>
        <v>3.62</v>
      </c>
      <c r="G24" s="359" t="str">
        <f>'State Appropriations'!E8</f>
        <v>2020</v>
      </c>
      <c r="H24" s="210">
        <f>'State Appropriations'!F8</f>
        <v>2.7300000000000001E-2</v>
      </c>
    </row>
    <row r="25" spans="3:18" ht="15" thickBot="1" x14ac:dyDescent="0.4">
      <c r="C25" s="70" t="str">
        <f>'State Appropriations'!A9</f>
        <v>2023-24 fee for service</v>
      </c>
      <c r="D25" s="98">
        <f>'State Appropriations'!B9</f>
        <v>63.64</v>
      </c>
      <c r="E25" s="103"/>
      <c r="F25" s="357"/>
      <c r="G25" s="359" t="str">
        <f>'State Appropriations'!E9</f>
        <v>2021</v>
      </c>
      <c r="H25" s="210">
        <f>'State Appropriations'!F9</f>
        <v>1.924E-2</v>
      </c>
    </row>
    <row r="26" spans="3:18" ht="15" thickBot="1" x14ac:dyDescent="0.4">
      <c r="C26" s="70" t="str">
        <f>'State Appropriations'!A10</f>
        <v>2023-24 College Opportunity Fund (COF)</v>
      </c>
      <c r="D26" s="98">
        <f>'State Appropriations'!B10</f>
        <v>48.84</v>
      </c>
      <c r="E26" s="103"/>
      <c r="F26" s="357"/>
      <c r="G26" s="359" t="str">
        <f>'State Appropriations'!E10</f>
        <v>2022</v>
      </c>
      <c r="H26" s="210">
        <f>'State Appropriations'!F10</f>
        <v>1.95E-2</v>
      </c>
      <c r="J26" s="212"/>
    </row>
    <row r="27" spans="3:18" ht="15" thickBot="1" x14ac:dyDescent="0.4">
      <c r="C27" s="70" t="str">
        <f>'State Appropriations'!A11</f>
        <v>2023-24 Total</v>
      </c>
      <c r="D27" s="99">
        <f>'State Appropriations'!B11</f>
        <v>112.48</v>
      </c>
      <c r="E27" s="102">
        <f>'State Appropriations'!C11</f>
        <v>9.8674218017414286E-2</v>
      </c>
      <c r="F27" s="112">
        <f>'State Appropriations'!D11</f>
        <v>10.1</v>
      </c>
      <c r="G27" s="359" t="str">
        <f>'State Appropriations'!E11</f>
        <v>2023</v>
      </c>
      <c r="H27" s="210">
        <f>'State Appropriations'!F11</f>
        <v>3.5400000000000001E-2</v>
      </c>
    </row>
    <row r="28" spans="3:18" ht="15" thickBot="1" x14ac:dyDescent="0.4">
      <c r="C28" s="70" t="str">
        <f>'State Appropriations'!A12</f>
        <v>2024-25 fee for service</v>
      </c>
      <c r="D28" s="98">
        <f>'State Appropriations'!B12</f>
        <v>73.69</v>
      </c>
      <c r="E28" s="103"/>
      <c r="F28" s="357"/>
      <c r="G28" s="359" t="str">
        <f>'State Appropriations'!E12</f>
        <v>2024</v>
      </c>
      <c r="H28" s="210">
        <f>'State Appropriations'!F12</f>
        <v>8.0110000000000001E-2</v>
      </c>
    </row>
    <row r="29" spans="3:18" x14ac:dyDescent="0.35">
      <c r="C29" s="70" t="str">
        <f>'State Appropriations'!A13</f>
        <v>2024-25 College Opportunity Fund (COF)</v>
      </c>
      <c r="D29" s="98">
        <f>'State Appropriations'!B13</f>
        <v>50.19</v>
      </c>
      <c r="E29" s="103"/>
      <c r="F29" s="358"/>
      <c r="G29" s="482" t="str">
        <f>'State Appropriations'!E13</f>
        <v>2025</v>
      </c>
      <c r="H29" s="465">
        <f>'State Appropriations'!F13</f>
        <v>5.2150000000000002E-2</v>
      </c>
    </row>
    <row r="30" spans="3:18" ht="15" thickBot="1" x14ac:dyDescent="0.4">
      <c r="C30" s="72" t="str">
        <f>'State Appropriations'!A14</f>
        <v>2024-25 Total</v>
      </c>
      <c r="D30" s="99">
        <f>'State Appropriations'!B14</f>
        <v>123.88</v>
      </c>
      <c r="E30" s="102">
        <f>'State Appropriations'!C14</f>
        <v>0.10134833766645091</v>
      </c>
      <c r="F30" s="104">
        <f>'State Appropriations'!D14</f>
        <v>11.4</v>
      </c>
      <c r="G30" s="483"/>
      <c r="H30" s="466"/>
    </row>
    <row r="31" spans="3:18" ht="15" thickBot="1" x14ac:dyDescent="0.4">
      <c r="G31" s="213"/>
      <c r="H31" s="190"/>
    </row>
    <row r="32" spans="3:18" ht="15" thickBot="1" x14ac:dyDescent="0.4">
      <c r="C32" s="106" t="s">
        <v>202</v>
      </c>
      <c r="D32" s="100" t="str">
        <f>GAIR!B5</f>
        <v>FY22</v>
      </c>
      <c r="E32" s="69" t="str">
        <f>GAIR!C5</f>
        <v>FY23</v>
      </c>
      <c r="F32" s="69" t="str">
        <f>GAIR!D5</f>
        <v>FY24</v>
      </c>
      <c r="G32" s="69" t="str">
        <f>GAIR!E5</f>
        <v>FY25</v>
      </c>
    </row>
    <row r="33" spans="3:14" x14ac:dyDescent="0.35">
      <c r="C33" s="365" t="s">
        <v>67</v>
      </c>
      <c r="D33" s="364">
        <f>GAIR!B6</f>
        <v>7.2599999999999998E-2</v>
      </c>
      <c r="E33" s="215">
        <f>GAIR!C6</f>
        <v>7.6399999999999996E-2</v>
      </c>
      <c r="F33" s="215">
        <f>GAIR!D6</f>
        <v>7.51E-2</v>
      </c>
      <c r="G33" s="215">
        <f>GAIR!E6</f>
        <v>7.8600000000000003E-2</v>
      </c>
      <c r="H33" s="211"/>
      <c r="J33" s="216"/>
      <c r="K33" s="217"/>
      <c r="L33" s="218"/>
      <c r="M33" s="218"/>
      <c r="N33" s="219"/>
    </row>
    <row r="34" spans="3:14" ht="15" thickBot="1" x14ac:dyDescent="0.4">
      <c r="C34" s="366" t="s">
        <v>68</v>
      </c>
      <c r="D34" s="215">
        <f>GAIR!B7</f>
        <v>6.3E-3</v>
      </c>
      <c r="E34" s="215">
        <f>GAIR!C7</f>
        <v>5.4999999999999997E-3</v>
      </c>
      <c r="F34" s="215">
        <f>GAIR!D7</f>
        <v>7.3000000000000001E-3</v>
      </c>
      <c r="G34" s="215">
        <f>GAIR!E7</f>
        <v>6.3E-3</v>
      </c>
      <c r="J34" s="221"/>
      <c r="K34" s="222"/>
      <c r="L34" s="222"/>
      <c r="M34" s="222"/>
      <c r="N34" s="223"/>
    </row>
    <row r="35" spans="3:14" ht="15" thickBot="1" x14ac:dyDescent="0.4">
      <c r="C35" s="224" t="s">
        <v>69</v>
      </c>
      <c r="D35" s="361">
        <f>GAIR!B8</f>
        <v>7.8899999999999998E-2</v>
      </c>
      <c r="E35" s="361">
        <f>GAIR!C8</f>
        <v>8.1900000000000001E-2</v>
      </c>
      <c r="F35" s="361">
        <f>GAIR!D8</f>
        <v>8.2400000000000001E-2</v>
      </c>
      <c r="G35" s="361">
        <f>GAIR!E8</f>
        <v>8.4900000000000003E-2</v>
      </c>
      <c r="J35" s="221"/>
      <c r="K35" s="222"/>
      <c r="L35" s="222"/>
      <c r="M35" s="222"/>
      <c r="N35" s="223"/>
    </row>
    <row r="36" spans="3:14" ht="15" thickBot="1" x14ac:dyDescent="0.4">
      <c r="C36" s="225"/>
      <c r="J36" s="221"/>
      <c r="K36" s="222"/>
      <c r="L36" s="222"/>
      <c r="M36" s="222"/>
      <c r="N36" s="223"/>
    </row>
    <row r="37" spans="3:14" ht="15" thickBot="1" x14ac:dyDescent="0.4">
      <c r="C37" s="226" t="s">
        <v>203</v>
      </c>
      <c r="D37" s="227"/>
      <c r="E37" s="227"/>
      <c r="F37" s="227"/>
      <c r="G37" s="227"/>
      <c r="H37" s="227"/>
      <c r="I37" s="227"/>
      <c r="J37" s="228"/>
    </row>
    <row r="38" spans="3:14" ht="15" thickBot="1" x14ac:dyDescent="0.4">
      <c r="C38" s="362" t="s">
        <v>204</v>
      </c>
      <c r="D38" s="362" t="s">
        <v>205</v>
      </c>
      <c r="E38" s="362" t="s">
        <v>206</v>
      </c>
      <c r="F38" s="362" t="s">
        <v>56</v>
      </c>
      <c r="G38" s="362" t="s">
        <v>57</v>
      </c>
      <c r="H38" s="362" t="s">
        <v>207</v>
      </c>
      <c r="I38" s="362" t="s">
        <v>59</v>
      </c>
      <c r="J38" s="363" t="s">
        <v>208</v>
      </c>
      <c r="L38" s="229"/>
    </row>
    <row r="39" spans="3:14" x14ac:dyDescent="0.35">
      <c r="C39" s="367" t="str">
        <f>OCG!A8</f>
        <v>2018-2019</v>
      </c>
      <c r="D39" s="368">
        <f>OCG!B8</f>
        <v>2412</v>
      </c>
      <c r="E39" s="371">
        <f>OCG!C8</f>
        <v>2299</v>
      </c>
      <c r="F39" s="374">
        <f>OCG!D8</f>
        <v>630.9</v>
      </c>
      <c r="G39" s="214">
        <f>OCG!E8</f>
        <v>0.23439639992173733</v>
      </c>
      <c r="H39" s="374">
        <f>OCG!F8</f>
        <v>489.9</v>
      </c>
      <c r="I39" s="374">
        <f>OCG!G8</f>
        <v>109.06</v>
      </c>
      <c r="J39" s="210">
        <f>OCG!H8</f>
        <v>3.0812854442344096E-2</v>
      </c>
      <c r="K39" s="230"/>
      <c r="L39" s="231"/>
    </row>
    <row r="40" spans="3:14" x14ac:dyDescent="0.35">
      <c r="C40" s="70" t="str">
        <f>OCG!A9</f>
        <v>2019-2020</v>
      </c>
      <c r="D40" s="369">
        <f>OCG!B9</f>
        <v>2383</v>
      </c>
      <c r="E40" s="372">
        <f>OCG!C9</f>
        <v>2262</v>
      </c>
      <c r="F40" s="375">
        <f>OCG!D9</f>
        <v>613.92999999999995</v>
      </c>
      <c r="G40" s="360">
        <f>OCG!E9</f>
        <v>-2.689808210492951E-2</v>
      </c>
      <c r="H40" s="375">
        <f>OCG!F9</f>
        <v>499.54</v>
      </c>
      <c r="I40" s="375">
        <f>OCG!G9</f>
        <v>108.96</v>
      </c>
      <c r="J40" s="119">
        <f>OCG!H9</f>
        <v>-9.1692646249778582E-4</v>
      </c>
    </row>
    <row r="41" spans="3:14" x14ac:dyDescent="0.35">
      <c r="C41" s="70" t="str">
        <f>OCG!A10</f>
        <v>2020-2021</v>
      </c>
      <c r="D41" s="369">
        <f>OCG!B10</f>
        <v>2515</v>
      </c>
      <c r="E41" s="372">
        <f>OCG!C10</f>
        <v>2257</v>
      </c>
      <c r="F41" s="375">
        <f>OCG!D10</f>
        <v>634.4</v>
      </c>
      <c r="G41" s="360">
        <f>OCG!E10</f>
        <v>3.3342563484436386E-2</v>
      </c>
      <c r="H41" s="375">
        <f>OCG!F10</f>
        <v>499.5</v>
      </c>
      <c r="I41" s="375">
        <f>OCG!G10</f>
        <v>116.5</v>
      </c>
      <c r="J41" s="119">
        <f>OCG!H10</f>
        <v>6.9199706314243825E-2</v>
      </c>
    </row>
    <row r="42" spans="3:14" x14ac:dyDescent="0.35">
      <c r="C42" s="70" t="str">
        <f>OCG!A11</f>
        <v>2021-2022</v>
      </c>
      <c r="D42" s="369">
        <f>OCG!B11</f>
        <v>2338</v>
      </c>
      <c r="E42" s="372">
        <f>OCG!C11</f>
        <v>2326</v>
      </c>
      <c r="F42" s="375">
        <f>OCG!D11</f>
        <v>630.1</v>
      </c>
      <c r="G42" s="360">
        <f>OCG!E11</f>
        <v>-6.7780580075661326E-3</v>
      </c>
      <c r="H42" s="375">
        <f>OCG!F11</f>
        <v>582.79999999999995</v>
      </c>
      <c r="I42" s="375">
        <f>OCG!G11</f>
        <v>127</v>
      </c>
      <c r="J42" s="119">
        <f>OCG!H11</f>
        <v>9.012875536480687E-2</v>
      </c>
    </row>
    <row r="43" spans="3:14" x14ac:dyDescent="0.35">
      <c r="C43" s="70" t="str">
        <f>OCG!A12</f>
        <v>2022-2023</v>
      </c>
      <c r="D43" s="369">
        <f>OCG!B12</f>
        <v>2442</v>
      </c>
      <c r="E43" s="372">
        <f>OCG!C12</f>
        <v>2283</v>
      </c>
      <c r="F43" s="375">
        <f>OCG!D12</f>
        <v>656.4</v>
      </c>
      <c r="G43" s="360">
        <f>OCG!E12</f>
        <v>4.1739406443421605E-2</v>
      </c>
      <c r="H43" s="375">
        <f>OCG!F12</f>
        <v>624.79999999999995</v>
      </c>
      <c r="I43" s="375">
        <f>OCG!G12</f>
        <v>140.69999999999999</v>
      </c>
      <c r="J43" s="119">
        <f>OCG!H12</f>
        <v>0.1078740157480314</v>
      </c>
    </row>
    <row r="44" spans="3:14" ht="15" thickBot="1" x14ac:dyDescent="0.4">
      <c r="C44" s="72" t="str">
        <f>OCG!A13</f>
        <v>2023-2024</v>
      </c>
      <c r="D44" s="370">
        <f>OCG!B13</f>
        <v>2456</v>
      </c>
      <c r="E44" s="373">
        <f>OCG!C13</f>
        <v>2195</v>
      </c>
      <c r="F44" s="376">
        <f>OCG!D13</f>
        <v>715.36300000000006</v>
      </c>
      <c r="G44" s="220">
        <f>OCG!E13</f>
        <v>8.9827848872638755E-2</v>
      </c>
      <c r="H44" s="376">
        <f>OCG!F13</f>
        <v>683.5</v>
      </c>
      <c r="I44" s="376">
        <f>OCG!G13</f>
        <v>152.386</v>
      </c>
      <c r="J44" s="235">
        <f>OCG!H13</f>
        <v>8.3056147832267294E-2</v>
      </c>
      <c r="K44" s="194"/>
    </row>
    <row r="45" spans="3:14" ht="15" thickBot="1" x14ac:dyDescent="0.4">
      <c r="C45" s="236"/>
      <c r="D45" s="232"/>
      <c r="E45" s="233"/>
      <c r="F45" s="234"/>
      <c r="G45" s="213"/>
      <c r="H45" s="234"/>
      <c r="I45" s="234"/>
      <c r="J45" s="213"/>
    </row>
    <row r="46" spans="3:14" x14ac:dyDescent="0.35">
      <c r="C46" s="209" t="s">
        <v>40</v>
      </c>
      <c r="D46" s="183" t="s">
        <v>41</v>
      </c>
      <c r="E46" s="183" t="s">
        <v>42</v>
      </c>
      <c r="F46" s="183" t="s">
        <v>43</v>
      </c>
      <c r="G46" s="100" t="s">
        <v>44</v>
      </c>
      <c r="I46" s="237"/>
      <c r="J46" s="237"/>
    </row>
    <row r="47" spans="3:14" x14ac:dyDescent="0.35">
      <c r="C47" s="377" t="s">
        <v>45</v>
      </c>
      <c r="D47" s="379" t="s">
        <v>46</v>
      </c>
      <c r="E47" s="381" t="str">
        <f>'ICR Rates'!C6</f>
        <v>07/1/2023</v>
      </c>
      <c r="F47" s="381" t="str">
        <f>'ICR Rates'!D6</f>
        <v>6/30/2025</v>
      </c>
      <c r="G47" s="239">
        <f>'ICR Rates'!E6</f>
        <v>0.56499999999999995</v>
      </c>
      <c r="H47" s="229"/>
      <c r="I47" s="238"/>
      <c r="J47" s="238"/>
    </row>
    <row r="48" spans="3:14" ht="22.5" customHeight="1" x14ac:dyDescent="0.35">
      <c r="C48" s="377" t="s">
        <v>45</v>
      </c>
      <c r="D48" s="379" t="s">
        <v>47</v>
      </c>
      <c r="E48" s="381" t="str">
        <f>'ICR Rates'!C7</f>
        <v>07/1/2023</v>
      </c>
      <c r="F48" s="381" t="str">
        <f>'ICR Rates'!D7</f>
        <v>6/30/2025</v>
      </c>
      <c r="G48" s="239">
        <f>'ICR Rates'!E7</f>
        <v>0.26</v>
      </c>
      <c r="H48" s="240"/>
      <c r="I48" s="238"/>
      <c r="J48" s="238"/>
    </row>
    <row r="49" spans="3:10" x14ac:dyDescent="0.35">
      <c r="C49" s="377" t="s">
        <v>48</v>
      </c>
      <c r="D49" s="379" t="s">
        <v>46</v>
      </c>
      <c r="E49" s="381" t="str">
        <f>'ICR Rates'!C8</f>
        <v>07/1/2023</v>
      </c>
      <c r="F49" s="381" t="str">
        <f>'ICR Rates'!D8</f>
        <v>6/30/2025</v>
      </c>
      <c r="G49" s="239">
        <f>'ICR Rates'!E8</f>
        <v>0.47499999999999998</v>
      </c>
      <c r="I49" s="238"/>
      <c r="J49" s="238"/>
    </row>
    <row r="50" spans="3:10" x14ac:dyDescent="0.35">
      <c r="C50" s="377" t="s">
        <v>48</v>
      </c>
      <c r="D50" s="379" t="s">
        <v>47</v>
      </c>
      <c r="E50" s="381" t="str">
        <f>'ICR Rates'!C9</f>
        <v>07/1/2023</v>
      </c>
      <c r="F50" s="381" t="str">
        <f>'ICR Rates'!D9</f>
        <v>6/30/2025</v>
      </c>
      <c r="G50" s="239">
        <f>'ICR Rates'!E9</f>
        <v>0.26</v>
      </c>
      <c r="I50" s="238"/>
      <c r="J50" s="238"/>
    </row>
    <row r="51" spans="3:10" ht="15" thickBot="1" x14ac:dyDescent="0.4">
      <c r="C51" s="378" t="s">
        <v>49</v>
      </c>
      <c r="D51" s="380" t="s">
        <v>50</v>
      </c>
      <c r="E51" s="382" t="str">
        <f>'ICR Rates'!C10</f>
        <v>07/1/2023</v>
      </c>
      <c r="F51" s="382" t="str">
        <f>'ICR Rates'!D10</f>
        <v>6/30/2025</v>
      </c>
      <c r="G51" s="241">
        <f>'ICR Rates'!E10</f>
        <v>0.43</v>
      </c>
      <c r="I51" s="238"/>
      <c r="J51" s="238"/>
    </row>
    <row r="52" spans="3:10" ht="15" thickBot="1" x14ac:dyDescent="0.4">
      <c r="C52" s="242"/>
      <c r="D52" s="243"/>
      <c r="E52" s="243"/>
      <c r="F52" s="243"/>
      <c r="G52" s="243"/>
      <c r="H52" s="243"/>
      <c r="I52" s="243"/>
      <c r="J52" s="243"/>
    </row>
    <row r="53" spans="3:10" ht="15" thickBot="1" x14ac:dyDescent="0.4">
      <c r="C53" s="244" t="str">
        <f>'Employee Headcount'!A6</f>
        <v>Employees as of November 1, 2023 (headcount)</v>
      </c>
      <c r="D53" s="245"/>
      <c r="E53" s="245"/>
      <c r="F53" s="246"/>
    </row>
    <row r="54" spans="3:10" ht="15" thickBot="1" x14ac:dyDescent="0.4">
      <c r="C54" s="247" t="s">
        <v>144</v>
      </c>
      <c r="D54" s="248" t="s">
        <v>94</v>
      </c>
      <c r="E54" s="248" t="s">
        <v>145</v>
      </c>
      <c r="F54" s="249" t="s">
        <v>94</v>
      </c>
    </row>
    <row r="55" spans="3:10" ht="21" x14ac:dyDescent="0.35">
      <c r="C55" s="250" t="s">
        <v>215</v>
      </c>
      <c r="D55" s="251">
        <f>'Employee Headcount'!B8</f>
        <v>1235</v>
      </c>
      <c r="E55" s="252" t="s">
        <v>216</v>
      </c>
      <c r="F55" s="253">
        <f>'Employee Headcount'!D8</f>
        <v>247</v>
      </c>
      <c r="H55" s="254"/>
    </row>
    <row r="56" spans="3:10" x14ac:dyDescent="0.35">
      <c r="C56" s="255" t="s">
        <v>217</v>
      </c>
      <c r="D56" s="260">
        <f>'Employee Headcount'!B9</f>
        <v>570</v>
      </c>
      <c r="E56" s="256" t="s">
        <v>218</v>
      </c>
      <c r="F56" s="257">
        <f>'Employee Headcount'!D9</f>
        <v>1139</v>
      </c>
    </row>
    <row r="57" spans="3:10" x14ac:dyDescent="0.35">
      <c r="C57" s="258" t="s">
        <v>219</v>
      </c>
      <c r="D57" s="385">
        <f>'Employee Headcount'!B10</f>
        <v>1128</v>
      </c>
      <c r="E57" s="256" t="s">
        <v>220</v>
      </c>
      <c r="F57" s="257">
        <f>'Employee Headcount'!D10</f>
        <v>1511</v>
      </c>
    </row>
    <row r="58" spans="3:10" x14ac:dyDescent="0.35">
      <c r="C58" s="259" t="s">
        <v>221</v>
      </c>
      <c r="D58" s="260">
        <f>SUM(D55:D57)</f>
        <v>2933</v>
      </c>
      <c r="E58" s="256" t="s">
        <v>222</v>
      </c>
      <c r="F58" s="257">
        <f>'Employee Headcount'!D11</f>
        <v>110</v>
      </c>
    </row>
    <row r="59" spans="3:10" x14ac:dyDescent="0.35">
      <c r="C59" s="261" t="s">
        <v>154</v>
      </c>
      <c r="D59" s="260">
        <f>'Employee Headcount'!B12</f>
        <v>2434</v>
      </c>
      <c r="E59" s="262" t="s">
        <v>223</v>
      </c>
      <c r="F59" s="263">
        <f>'Employee Headcount'!D12</f>
        <v>2</v>
      </c>
    </row>
    <row r="60" spans="3:10" x14ac:dyDescent="0.35">
      <c r="C60" s="255" t="s">
        <v>224</v>
      </c>
      <c r="D60" s="260">
        <f>'Employee Headcount'!B13</f>
        <v>4304</v>
      </c>
      <c r="E60" s="264" t="s">
        <v>221</v>
      </c>
      <c r="F60" s="257">
        <f>SUM(F55:F59)</f>
        <v>3009</v>
      </c>
    </row>
    <row r="61" spans="3:10" ht="15" thickBot="1" x14ac:dyDescent="0.4">
      <c r="C61" s="261" t="s">
        <v>32</v>
      </c>
      <c r="D61" s="260">
        <f>'Employee Headcount'!B14</f>
        <v>819</v>
      </c>
      <c r="E61" s="265" t="s">
        <v>157</v>
      </c>
      <c r="F61" s="266">
        <f>'Employee Headcount'!D14</f>
        <v>5884</v>
      </c>
    </row>
    <row r="62" spans="3:10" ht="15" thickBot="1" x14ac:dyDescent="0.4">
      <c r="C62" s="267" t="s">
        <v>158</v>
      </c>
      <c r="D62" s="268">
        <f>SUM(D58:D61)</f>
        <v>10490</v>
      </c>
      <c r="E62" s="269" t="s">
        <v>159</v>
      </c>
      <c r="F62" s="270">
        <f>SUM(F60:F61)</f>
        <v>8893</v>
      </c>
    </row>
    <row r="63" spans="3:10" ht="15" thickBot="1" x14ac:dyDescent="0.4">
      <c r="C63" s="271"/>
      <c r="D63" s="272"/>
      <c r="E63" s="273"/>
      <c r="F63" s="274"/>
    </row>
    <row r="64" spans="3:10" ht="15" thickBot="1" x14ac:dyDescent="0.4">
      <c r="C64" s="275" t="s">
        <v>225</v>
      </c>
      <c r="D64" s="276"/>
      <c r="E64" s="276"/>
      <c r="F64" s="276"/>
      <c r="G64" s="277"/>
      <c r="H64" s="197"/>
    </row>
    <row r="65" spans="1:10" ht="21.5" thickBot="1" x14ac:dyDescent="0.4">
      <c r="C65" s="278" t="s">
        <v>29</v>
      </c>
      <c r="D65" s="279" t="str">
        <f>"effective 7/1/"&amp;Revenue!$B$1-2&amp;" Full-time/Perm"</f>
        <v>effective 7/1/23 Full-time/Perm</v>
      </c>
      <c r="E65" s="280" t="str">
        <f>"effective 7/1/"&amp;Revenue!$B$1-2&amp;" Part-time/Temp"</f>
        <v>effective 7/1/23 Part-time/Temp</v>
      </c>
      <c r="F65" s="279" t="str">
        <f>"effective 7/1/"&amp;Revenue!$B$1-1&amp;" Full-time/Perm"</f>
        <v>effective 7/1/24 Full-time/Perm</v>
      </c>
      <c r="G65" s="280" t="str">
        <f>"effective 7/1/"&amp;Revenue!$B$1-1&amp;" Part-time/Temp"</f>
        <v>effective 7/1/24 Part-time/Temp</v>
      </c>
    </row>
    <row r="66" spans="1:10" x14ac:dyDescent="0.35">
      <c r="C66" s="281" t="s">
        <v>32</v>
      </c>
      <c r="D66" s="383">
        <f>'Fringe Benefits'!B7</f>
        <v>0.39100000000000001</v>
      </c>
      <c r="E66" s="383">
        <f>'Fringe Benefits'!C7</f>
        <v>0.15</v>
      </c>
      <c r="F66" s="383">
        <f>'Fringe Benefits'!D7</f>
        <v>0.4</v>
      </c>
      <c r="G66" s="383">
        <f>'Fringe Benefits'!E7</f>
        <v>0.14599999999999999</v>
      </c>
    </row>
    <row r="67" spans="1:10" x14ac:dyDescent="0.35">
      <c r="C67" s="281" t="s">
        <v>33</v>
      </c>
      <c r="D67" s="282">
        <f>'Fringe Benefits'!B8</f>
        <v>0</v>
      </c>
      <c r="E67" s="282">
        <f>'Fringe Benefits'!C8</f>
        <v>1.2E-2</v>
      </c>
      <c r="F67" s="282">
        <f>'Fringe Benefits'!D8</f>
        <v>0</v>
      </c>
      <c r="G67" s="282">
        <f>'Fringe Benefits'!E8</f>
        <v>1.7999999999999999E-2</v>
      </c>
    </row>
    <row r="68" spans="1:10" x14ac:dyDescent="0.35">
      <c r="C68" s="281" t="s">
        <v>226</v>
      </c>
      <c r="D68" s="282">
        <f>'Fringe Benefits'!B9</f>
        <v>0.39100000000000001</v>
      </c>
      <c r="E68" s="282">
        <f>'Fringe Benefits'!C9</f>
        <v>0.15</v>
      </c>
      <c r="F68" s="282">
        <f>'Fringe Benefits'!D9</f>
        <v>0.4</v>
      </c>
      <c r="G68" s="282">
        <f>'Fringe Benefits'!E9</f>
        <v>0.14599999999999999</v>
      </c>
    </row>
    <row r="69" spans="1:10" x14ac:dyDescent="0.35">
      <c r="C69" s="281" t="s">
        <v>36</v>
      </c>
      <c r="D69" s="282">
        <f>'Fringe Benefits'!B10</f>
        <v>0.308</v>
      </c>
      <c r="E69" s="282">
        <f>'Fringe Benefits'!C10</f>
        <v>0</v>
      </c>
      <c r="F69" s="282">
        <f>'Fringe Benefits'!D10</f>
        <v>0.31</v>
      </c>
      <c r="G69" s="282">
        <f>'Fringe Benefits'!E10</f>
        <v>0</v>
      </c>
    </row>
    <row r="70" spans="1:10" ht="15" thickBot="1" x14ac:dyDescent="0.4">
      <c r="C70" s="283" t="s">
        <v>37</v>
      </c>
      <c r="D70" s="384">
        <f>'Fringe Benefits'!B11</f>
        <v>0</v>
      </c>
      <c r="E70" s="384">
        <f>'Fringe Benefits'!C11</f>
        <v>9.5000000000000001E-2</v>
      </c>
      <c r="F70" s="384">
        <f>'Fringe Benefits'!D11</f>
        <v>0</v>
      </c>
      <c r="G70" s="384">
        <f>'Fringe Benefits'!E11</f>
        <v>0.114</v>
      </c>
    </row>
    <row r="71" spans="1:10" ht="15" thickBot="1" x14ac:dyDescent="0.4">
      <c r="C71" s="243"/>
      <c r="D71" s="243"/>
      <c r="E71" s="243"/>
      <c r="F71" s="243"/>
      <c r="G71" s="243"/>
      <c r="H71" s="243"/>
      <c r="I71" s="243"/>
      <c r="J71" s="243"/>
    </row>
    <row r="72" spans="1:10" ht="15" thickBot="1" x14ac:dyDescent="0.4">
      <c r="C72" s="284" t="s">
        <v>227</v>
      </c>
      <c r="D72" s="285"/>
      <c r="E72" s="285"/>
      <c r="F72" s="285"/>
      <c r="G72" s="285"/>
      <c r="H72" s="285"/>
      <c r="I72" s="286"/>
    </row>
    <row r="73" spans="1:10" ht="32" thickBot="1" x14ac:dyDescent="0.4">
      <c r="C73" s="443" t="s">
        <v>228</v>
      </c>
      <c r="D73" s="445" t="str">
        <f>"Resident full-time AY"&amp;Revenue!$B$1-2&amp;"-"&amp;Revenue!$B$1-1&amp;" $"</f>
        <v>Resident full-time AY23-24 $</v>
      </c>
      <c r="E73" s="445" t="str">
        <f>"Resident full-time AY"&amp;Revenue!$B$1-1&amp;"-"&amp;Revenue!$B$1&amp;" $"</f>
        <v>Resident full-time AY24-25 $</v>
      </c>
      <c r="F73" s="449" t="s">
        <v>229</v>
      </c>
      <c r="G73" s="445" t="str">
        <f>"Non-resident full-time AY"&amp;Revenue!$B$1-2&amp;"-"&amp;Revenue!$B$1-1&amp;" $"</f>
        <v>Non-resident full-time AY23-24 $</v>
      </c>
      <c r="H73" s="445" t="str">
        <f>"Non-resident full-time AY"&amp;Revenue!$B$1-1&amp;"-"&amp;Revenue!$B$1&amp;" $"</f>
        <v>Non-resident full-time AY24-25 $</v>
      </c>
      <c r="I73" s="444" t="s">
        <v>230</v>
      </c>
      <c r="J73"/>
    </row>
    <row r="74" spans="1:10" x14ac:dyDescent="0.35">
      <c r="C74" s="386" t="s">
        <v>181</v>
      </c>
      <c r="D74" s="310">
        <f>'Tuition&amp;Fees'!B8</f>
        <v>17664</v>
      </c>
      <c r="E74" s="310">
        <f>'Tuition&amp;Fees'!C8</f>
        <v>18192</v>
      </c>
      <c r="F74" s="441">
        <f>'Tuition&amp;Fees'!D8</f>
        <v>2.9891304347826088E-2</v>
      </c>
      <c r="G74" s="310">
        <f>'Tuition&amp;Fees'!E8</f>
        <v>44068</v>
      </c>
      <c r="H74" s="310">
        <f>'Tuition&amp;Fees'!F8</f>
        <v>45830</v>
      </c>
      <c r="I74" s="446">
        <f>'Tuition&amp;Fees'!G8</f>
        <v>3.9983661613869473E-2</v>
      </c>
      <c r="J74" s="287"/>
    </row>
    <row r="75" spans="1:10" x14ac:dyDescent="0.35">
      <c r="C75" s="296" t="s">
        <v>260</v>
      </c>
      <c r="D75" s="319">
        <f>'Tuition&amp;Fees'!B9</f>
        <v>15672</v>
      </c>
      <c r="E75" s="319">
        <f>'Tuition&amp;Fees'!C9</f>
        <v>16128</v>
      </c>
      <c r="F75" s="442">
        <f>'Tuition&amp;Fees'!D9</f>
        <v>2.9096477794793262E-2</v>
      </c>
      <c r="G75" s="319">
        <f>'Tuition&amp;Fees'!E9</f>
        <v>43732</v>
      </c>
      <c r="H75" s="319">
        <f>'Tuition&amp;Fees'!F9</f>
        <v>45480</v>
      </c>
      <c r="I75" s="205">
        <f>'Tuition&amp;Fees'!G9</f>
        <v>3.997073081496387E-2</v>
      </c>
      <c r="J75" s="287"/>
    </row>
    <row r="76" spans="1:10" x14ac:dyDescent="0.35">
      <c r="C76" s="296" t="s">
        <v>182</v>
      </c>
      <c r="D76" s="319">
        <f>'Tuition&amp;Fees'!B10</f>
        <v>13824</v>
      </c>
      <c r="E76" s="319">
        <f>'Tuition&amp;Fees'!C10</f>
        <v>14232</v>
      </c>
      <c r="F76" s="442">
        <f>'Tuition&amp;Fees'!D10</f>
        <v>2.9513888888888888E-2</v>
      </c>
      <c r="G76" s="319">
        <f>'Tuition&amp;Fees'!E10</f>
        <v>42190</v>
      </c>
      <c r="H76" s="319">
        <f>'Tuition&amp;Fees'!F10</f>
        <v>43876</v>
      </c>
      <c r="I76" s="205">
        <f>'Tuition&amp;Fees'!G10</f>
        <v>3.9962076321403174E-2</v>
      </c>
    </row>
    <row r="77" spans="1:10" x14ac:dyDescent="0.35">
      <c r="C77" s="296" t="s">
        <v>187</v>
      </c>
      <c r="D77" s="319">
        <f>'Tuition&amp;Fees'!B11</f>
        <v>11976</v>
      </c>
      <c r="E77" s="319">
        <f>'Tuition&amp;Fees'!C11</f>
        <v>12312</v>
      </c>
      <c r="F77" s="442">
        <f>'Tuition&amp;Fees'!D11</f>
        <v>2.8056112224448898E-2</v>
      </c>
      <c r="G77" s="319">
        <f>'Tuition&amp;Fees'!E11</f>
        <v>40320</v>
      </c>
      <c r="H77" s="319">
        <f>'Tuition&amp;Fees'!F11</f>
        <v>41932</v>
      </c>
      <c r="I77" s="205">
        <f>'Tuition&amp;Fees'!G11</f>
        <v>3.9980158730158727E-2</v>
      </c>
    </row>
    <row r="78" spans="1:10" s="77" customFormat="1" ht="15" thickBot="1" x14ac:dyDescent="0.4">
      <c r="A78"/>
      <c r="C78" s="296" t="s">
        <v>231</v>
      </c>
      <c r="D78" s="319">
        <f>'Tuition&amp;Fees'!B12</f>
        <v>11976</v>
      </c>
      <c r="E78" s="319">
        <f>'Tuition&amp;Fees'!C12</f>
        <v>12312</v>
      </c>
      <c r="F78" s="442">
        <f>'Tuition&amp;Fees'!D12</f>
        <v>2.8056112224448898E-2</v>
      </c>
      <c r="G78" s="319">
        <f>'Tuition&amp;Fees'!E12</f>
        <v>40320</v>
      </c>
      <c r="H78" s="319">
        <f>'Tuition&amp;Fees'!F12</f>
        <v>41932</v>
      </c>
      <c r="I78" s="205">
        <f>'Tuition&amp;Fees'!G12</f>
        <v>3.9980158730158727E-2</v>
      </c>
    </row>
    <row r="79" spans="1:10" s="77" customFormat="1" ht="15" thickBot="1" x14ac:dyDescent="0.4">
      <c r="A79"/>
      <c r="C79" s="437" t="s">
        <v>232</v>
      </c>
      <c r="D79" s="340">
        <f>'Tuition&amp;Fees'!B13</f>
        <v>1646.34</v>
      </c>
      <c r="E79" s="340">
        <f>'Tuition&amp;Fees'!C13</f>
        <v>1690.34</v>
      </c>
      <c r="F79" s="450">
        <f>'Tuition&amp;Fees'!D13</f>
        <v>2.6725949682325646E-2</v>
      </c>
      <c r="G79" s="340">
        <f>'Tuition&amp;Fees'!E13</f>
        <v>1646.34</v>
      </c>
      <c r="H79" s="340">
        <f>'Tuition&amp;Fees'!F13</f>
        <v>1690.34</v>
      </c>
      <c r="I79" s="356">
        <f>'Tuition&amp;Fees'!G13</f>
        <v>2.6725949682325646E-2</v>
      </c>
    </row>
    <row r="80" spans="1:10" s="77" customFormat="1" ht="15" thickBot="1" x14ac:dyDescent="0.4">
      <c r="A80"/>
      <c r="C80" s="448" t="s">
        <v>233</v>
      </c>
      <c r="D80" s="316">
        <f>'Tuition&amp;Fees'!B14</f>
        <v>13622.34</v>
      </c>
      <c r="E80" s="316">
        <f>'Tuition&amp;Fees'!C14</f>
        <v>14002.34</v>
      </c>
      <c r="F80" s="447">
        <f>'Tuition&amp;Fees'!D14</f>
        <v>2.7895354248976312E-2</v>
      </c>
      <c r="G80" s="316">
        <f>'Tuition&amp;Fees'!E14</f>
        <v>41966.34</v>
      </c>
      <c r="H80" s="316">
        <f>'Tuition&amp;Fees'!F14</f>
        <v>43622.34</v>
      </c>
      <c r="I80" s="438">
        <f>'Tuition&amp;Fees'!G14</f>
        <v>3.9460195957045578E-2</v>
      </c>
      <c r="J80" s="288"/>
    </row>
    <row r="81" spans="1:10" s="77" customFormat="1" ht="19.5" customHeight="1" x14ac:dyDescent="0.35">
      <c r="A81"/>
      <c r="C81" s="484" t="str">
        <f>'Tuition&amp;Fees'!A15</f>
        <v>**Total is Student Share including COF stipend (res. only) of $116/credit hour for FY25.
***A&amp;S NS Tuition Rate began in 2023</v>
      </c>
      <c r="D81" s="485"/>
      <c r="E81" s="485"/>
      <c r="F81" s="485"/>
      <c r="G81" s="485"/>
      <c r="H81" s="485"/>
      <c r="I81" s="486"/>
    </row>
    <row r="82" spans="1:10" s="77" customFormat="1" ht="15" thickBot="1" x14ac:dyDescent="0.4">
      <c r="A82"/>
      <c r="C82" s="289" t="s">
        <v>234</v>
      </c>
      <c r="D82" s="290"/>
      <c r="E82" s="290"/>
      <c r="F82" s="290"/>
      <c r="G82" s="290"/>
      <c r="H82" s="290"/>
      <c r="I82" s="291"/>
    </row>
    <row r="83" spans="1:10" s="77" customFormat="1" ht="15" thickBot="1" x14ac:dyDescent="0.4">
      <c r="A83"/>
      <c r="C83" s="289"/>
      <c r="D83" s="290"/>
      <c r="E83" s="290"/>
      <c r="F83" s="290"/>
      <c r="G83" s="290"/>
      <c r="H83" s="290"/>
      <c r="I83" s="290"/>
    </row>
    <row r="84" spans="1:10" s="77" customFormat="1" ht="15" thickBot="1" x14ac:dyDescent="0.4">
      <c r="A84"/>
      <c r="C84" s="284" t="s">
        <v>235</v>
      </c>
      <c r="D84" s="285"/>
      <c r="E84" s="285"/>
      <c r="F84" s="285"/>
      <c r="G84" s="285"/>
      <c r="H84" s="285"/>
      <c r="I84" s="286"/>
    </row>
    <row r="85" spans="1:10" s="77" customFormat="1" ht="32" thickBot="1" x14ac:dyDescent="0.4">
      <c r="A85"/>
      <c r="C85" s="434" t="s">
        <v>236</v>
      </c>
      <c r="D85" s="436" t="str">
        <f>"Resident full-time AY"&amp;Revenue!$B$1-2&amp;"-"&amp;Revenue!$B$1-1&amp;" $"</f>
        <v>Resident full-time AY23-24 $</v>
      </c>
      <c r="E85" s="436" t="str">
        <f>"Resident full-time AY"&amp;Revenue!$B$1-1&amp;"-"&amp;Revenue!$B$1&amp;" $"</f>
        <v>Resident full-time AY24-25 $</v>
      </c>
      <c r="F85" s="436" t="s">
        <v>229</v>
      </c>
      <c r="G85" s="436" t="str">
        <f>"Non-resident full-time AY"&amp;Revenue!$B$1-2&amp;"-"&amp;Revenue!$B$1-1&amp;" $"</f>
        <v>Non-resident full-time AY23-24 $</v>
      </c>
      <c r="H85" s="436" t="str">
        <f>"Non-resident full-time AY"&amp;Revenue!$B$1-1&amp;"-"&amp;Revenue!$B$1&amp;" $"</f>
        <v>Non-resident full-time AY24-25 $</v>
      </c>
      <c r="I85" s="435" t="s">
        <v>237</v>
      </c>
    </row>
    <row r="86" spans="1:10" s="77" customFormat="1" x14ac:dyDescent="0.35">
      <c r="A86"/>
      <c r="C86" s="296" t="s">
        <v>238</v>
      </c>
      <c r="D86" s="297">
        <f>'Tuition&amp;Fees'!B17</f>
        <v>32778</v>
      </c>
      <c r="E86" s="297">
        <f>'Tuition&amp;Fees'!C17</f>
        <v>34416</v>
      </c>
      <c r="F86" s="388">
        <f>'Tuition&amp;Fees'!D17</f>
        <v>4.9972542559033495E-2</v>
      </c>
      <c r="G86" s="297">
        <f>'Tuition&amp;Fees'!E17</f>
        <v>40248</v>
      </c>
      <c r="H86" s="297">
        <f>'Tuition&amp;Fees'!F17</f>
        <v>42246</v>
      </c>
      <c r="I86" s="388">
        <f>'Tuition&amp;Fees'!G17</f>
        <v>4.9642218246869409E-2</v>
      </c>
    </row>
    <row r="87" spans="1:10" s="77" customFormat="1" x14ac:dyDescent="0.35">
      <c r="A87"/>
      <c r="C87" s="296" t="s">
        <v>239</v>
      </c>
      <c r="D87" s="297">
        <f>'Tuition&amp;Fees'!B18</f>
        <v>18576</v>
      </c>
      <c r="E87" s="297">
        <f>'Tuition&amp;Fees'!C18</f>
        <v>19116</v>
      </c>
      <c r="F87" s="388">
        <f>'Tuition&amp;Fees'!D18</f>
        <v>2.9069767441860465E-2</v>
      </c>
      <c r="G87" s="297">
        <f>'Tuition&amp;Fees'!E18</f>
        <v>38700</v>
      </c>
      <c r="H87" s="297">
        <f>'Tuition&amp;Fees'!F18</f>
        <v>39852</v>
      </c>
      <c r="I87" s="388">
        <f>'Tuition&amp;Fees'!G18</f>
        <v>2.9767441860465118E-2</v>
      </c>
    </row>
    <row r="88" spans="1:10" s="77" customFormat="1" x14ac:dyDescent="0.35">
      <c r="A88"/>
      <c r="C88" s="296" t="s">
        <v>184</v>
      </c>
      <c r="D88" s="297">
        <f>'Tuition&amp;Fees'!B19</f>
        <v>16938</v>
      </c>
      <c r="E88" s="297">
        <f>'Tuition&amp;Fees'!C19</f>
        <v>17442</v>
      </c>
      <c r="F88" s="388">
        <f>'Tuition&amp;Fees'!D19</f>
        <v>2.975557917109458E-2</v>
      </c>
      <c r="G88" s="297">
        <f>'Tuition&amp;Fees'!E19</f>
        <v>37620</v>
      </c>
      <c r="H88" s="297">
        <f>'Tuition&amp;Fees'!F19</f>
        <v>38736</v>
      </c>
      <c r="I88" s="388">
        <f>'Tuition&amp;Fees'!G19</f>
        <v>2.9665071770334929E-2</v>
      </c>
    </row>
    <row r="89" spans="1:10" s="77" customFormat="1" x14ac:dyDescent="0.35">
      <c r="A89"/>
      <c r="C89" s="296" t="s">
        <v>182</v>
      </c>
      <c r="D89" s="297">
        <f>'Tuition&amp;Fees'!B20</f>
        <v>14868</v>
      </c>
      <c r="E89" s="297">
        <f>'Tuition&amp;Fees'!C20</f>
        <v>15300</v>
      </c>
      <c r="F89" s="388">
        <f>'Tuition&amp;Fees'!D20</f>
        <v>2.9055690072639227E-2</v>
      </c>
      <c r="G89" s="297">
        <f>'Tuition&amp;Fees'!E20</f>
        <v>36342</v>
      </c>
      <c r="H89" s="297">
        <f>'Tuition&amp;Fees'!F20</f>
        <v>37422</v>
      </c>
      <c r="I89" s="388">
        <f>'Tuition&amp;Fees'!G20</f>
        <v>2.9717682020802376E-2</v>
      </c>
    </row>
    <row r="90" spans="1:10" s="77" customFormat="1" ht="15" thickBot="1" x14ac:dyDescent="0.4">
      <c r="A90"/>
      <c r="C90" s="296" t="s">
        <v>231</v>
      </c>
      <c r="D90" s="297">
        <f>'Tuition&amp;Fees'!B21</f>
        <v>13014</v>
      </c>
      <c r="E90" s="297">
        <f>'Tuition&amp;Fees'!C21</f>
        <v>13392</v>
      </c>
      <c r="F90" s="388">
        <f>'Tuition&amp;Fees'!D21</f>
        <v>2.9045643153526972E-2</v>
      </c>
      <c r="G90" s="297">
        <f>'Tuition&amp;Fees'!E21</f>
        <v>34488</v>
      </c>
      <c r="H90" s="297">
        <f>'Tuition&amp;Fees'!F21</f>
        <v>35514</v>
      </c>
      <c r="I90" s="388">
        <f>'Tuition&amp;Fees'!G21</f>
        <v>2.9749478079331943E-2</v>
      </c>
    </row>
    <row r="91" spans="1:10" s="77" customFormat="1" ht="15" thickBot="1" x14ac:dyDescent="0.4">
      <c r="A91"/>
      <c r="C91" s="437" t="s">
        <v>232</v>
      </c>
      <c r="D91" s="451">
        <f>'Tuition&amp;Fees'!B22</f>
        <v>1612.58</v>
      </c>
      <c r="E91" s="451">
        <f>'Tuition&amp;Fees'!C22</f>
        <v>1664.48</v>
      </c>
      <c r="F91" s="452">
        <f>'Tuition&amp;Fees'!D22</f>
        <v>3.2184449763732713E-2</v>
      </c>
      <c r="G91" s="451">
        <f>'Tuition&amp;Fees'!E22</f>
        <v>1612.58</v>
      </c>
      <c r="H91" s="451">
        <f>'Tuition&amp;Fees'!F22</f>
        <v>1664.48</v>
      </c>
      <c r="I91" s="452">
        <f>'Tuition&amp;Fees'!G22</f>
        <v>3.2184449763732713E-2</v>
      </c>
    </row>
    <row r="92" spans="1:10" s="77" customFormat="1" ht="15" thickBot="1" x14ac:dyDescent="0.4">
      <c r="A92"/>
      <c r="C92" s="453" t="s">
        <v>240</v>
      </c>
      <c r="D92" s="451">
        <f>'Tuition&amp;Fees'!B23</f>
        <v>14626.58</v>
      </c>
      <c r="E92" s="451">
        <f>'Tuition&amp;Fees'!C23</f>
        <v>15056.48</v>
      </c>
      <c r="F92" s="452">
        <f>'Tuition&amp;Fees'!D23</f>
        <v>2.9391696486806871E-2</v>
      </c>
      <c r="G92" s="451">
        <f>'Tuition&amp;Fees'!E23</f>
        <v>36100.58</v>
      </c>
      <c r="H92" s="451">
        <f>'Tuition&amp;Fees'!F23</f>
        <v>37178.480000000003</v>
      </c>
      <c r="I92" s="452">
        <f>'Tuition&amp;Fees'!G23</f>
        <v>2.9858246044800429E-2</v>
      </c>
      <c r="J92" s="288"/>
    </row>
    <row r="93" spans="1:10" s="77" customFormat="1" ht="15" thickBot="1" x14ac:dyDescent="0.4">
      <c r="A93"/>
      <c r="C93" s="293" t="s">
        <v>241</v>
      </c>
      <c r="D93" s="294"/>
      <c r="E93" s="294"/>
      <c r="F93" s="294"/>
      <c r="G93" s="294"/>
      <c r="H93" s="294"/>
      <c r="I93" s="295"/>
    </row>
    <row r="94" spans="1:10" s="77" customFormat="1" ht="15" thickBot="1" x14ac:dyDescent="0.4">
      <c r="A94"/>
      <c r="C94" s="225"/>
    </row>
    <row r="95" spans="1:10" s="77" customFormat="1" ht="15" thickBot="1" x14ac:dyDescent="0.4">
      <c r="A95"/>
      <c r="C95" s="226" t="s">
        <v>121</v>
      </c>
      <c r="D95" s="69" t="str">
        <f>'Student Statistics (Headcount)'!B7</f>
        <v>Fall 2023</v>
      </c>
      <c r="E95" s="69" t="str">
        <f>'Student Statistics (Headcount)'!C7</f>
        <v>Fall 2024</v>
      </c>
      <c r="F95" s="69" t="s">
        <v>124</v>
      </c>
      <c r="G95" s="69" t="s">
        <v>125</v>
      </c>
    </row>
    <row r="96" spans="1:10" s="77" customFormat="1" x14ac:dyDescent="0.35">
      <c r="A96"/>
      <c r="C96" s="386" t="s">
        <v>126</v>
      </c>
      <c r="D96" s="311">
        <f>'Student Statistics (Headcount)'!B8</f>
        <v>37153</v>
      </c>
      <c r="E96" s="311">
        <f>'Student Statistics (Headcount)'!C8</f>
        <v>38428</v>
      </c>
      <c r="F96" s="311">
        <f>'Student Statistics (Headcount)'!D8</f>
        <v>1275</v>
      </c>
      <c r="G96" s="387">
        <f>'Student Statistics (Headcount)'!E8</f>
        <v>3.4317551745484884E-2</v>
      </c>
    </row>
    <row r="97" spans="1:9" s="77" customFormat="1" x14ac:dyDescent="0.35">
      <c r="A97"/>
      <c r="C97" s="296" t="s">
        <v>127</v>
      </c>
      <c r="D97" s="297">
        <f>'Student Statistics (Headcount)'!B9</f>
        <v>30707</v>
      </c>
      <c r="E97" s="297">
        <f>'Student Statistics (Headcount)'!C9</f>
        <v>31939</v>
      </c>
      <c r="F97" s="297">
        <f>'Student Statistics (Headcount)'!D9</f>
        <v>1232</v>
      </c>
      <c r="G97" s="388">
        <f>'Student Statistics (Headcount)'!E9</f>
        <v>4.0121145015794446E-2</v>
      </c>
    </row>
    <row r="98" spans="1:9" s="77" customFormat="1" x14ac:dyDescent="0.35">
      <c r="A98"/>
      <c r="C98" s="296" t="s">
        <v>128</v>
      </c>
      <c r="D98" s="297">
        <f>'Student Statistics (Headcount)'!B10</f>
        <v>6446</v>
      </c>
      <c r="E98" s="297">
        <f>'Student Statistics (Headcount)'!C10</f>
        <v>6489</v>
      </c>
      <c r="F98" s="297">
        <f>'Student Statistics (Headcount)'!D10</f>
        <v>43</v>
      </c>
      <c r="G98" s="388">
        <f>'Student Statistics (Headcount)'!E10</f>
        <v>6.6708035991312441E-3</v>
      </c>
    </row>
    <row r="99" spans="1:9" s="77" customFormat="1" x14ac:dyDescent="0.35">
      <c r="A99"/>
      <c r="C99" s="296" t="s">
        <v>129</v>
      </c>
      <c r="D99" s="388">
        <f>'Student Statistics (Headcount)'!B11</f>
        <v>0.46203536726509298</v>
      </c>
      <c r="E99" s="388">
        <f>'Student Statistics (Headcount)'!C11</f>
        <v>0.46809617986884561</v>
      </c>
      <c r="F99" s="297">
        <f>'Student Statistics (Headcount)'!D11</f>
        <v>822</v>
      </c>
      <c r="G99" s="388">
        <f>'Student Statistics (Headcount)'!E11</f>
        <v>4.56971314209473E-2</v>
      </c>
    </row>
    <row r="100" spans="1:9" s="77" customFormat="1" x14ac:dyDescent="0.35">
      <c r="A100"/>
      <c r="C100" s="296" t="s">
        <v>130</v>
      </c>
      <c r="D100" s="388">
        <f>'Student Statistics (Headcount)'!B12</f>
        <v>0.53796463273490702</v>
      </c>
      <c r="E100" s="388">
        <f>'Student Statistics (Headcount)'!C12</f>
        <v>0.53190382013115434</v>
      </c>
      <c r="F100" s="297">
        <f>'Student Statistics (Headcount)'!D12</f>
        <v>453</v>
      </c>
      <c r="G100" s="388">
        <f>'Student Statistics (Headcount)'!E12</f>
        <v>2.2162426614481409E-2</v>
      </c>
    </row>
    <row r="101" spans="1:9" s="77" customFormat="1" x14ac:dyDescent="0.35">
      <c r="A101"/>
      <c r="C101" s="296" t="s">
        <v>131</v>
      </c>
      <c r="D101" s="388">
        <f>'Student Statistics (Headcount)'!B13</f>
        <v>0.57029042069281077</v>
      </c>
      <c r="E101" s="388">
        <f>'Student Statistics (Headcount)'!C13</f>
        <v>0.57270740085354432</v>
      </c>
      <c r="F101" s="297">
        <f>'Student Statistics (Headcount)'!D13</f>
        <v>820</v>
      </c>
      <c r="G101" s="388">
        <f>'Student Statistics (Headcount)'!E13</f>
        <v>3.7259178480552525E-2</v>
      </c>
    </row>
    <row r="102" spans="1:9" s="77" customFormat="1" x14ac:dyDescent="0.35">
      <c r="A102"/>
      <c r="C102" s="296" t="s">
        <v>141</v>
      </c>
      <c r="D102" s="388">
        <f>'Student Statistics (Headcount)'!B14</f>
        <v>0.42970957930718917</v>
      </c>
      <c r="E102" s="388">
        <f>'Student Statistics (Headcount)'!C14</f>
        <v>0.42729259914645573</v>
      </c>
      <c r="F102" s="297">
        <f>'Student Statistics (Headcount)'!D14</f>
        <v>455</v>
      </c>
      <c r="G102" s="388">
        <f>'Student Statistics (Headcount)'!E14</f>
        <v>2.7710109622411692E-2</v>
      </c>
    </row>
    <row r="103" spans="1:9" s="77" customFormat="1" x14ac:dyDescent="0.35">
      <c r="A103"/>
      <c r="C103" s="296" t="s">
        <v>132</v>
      </c>
      <c r="D103" s="388">
        <f>'Student Statistics (Headcount)'!B15</f>
        <v>0.26945334158748957</v>
      </c>
      <c r="E103" s="388">
        <f>'Student Statistics (Headcount)'!C15</f>
        <v>0.27729780368481316</v>
      </c>
      <c r="F103" s="297">
        <f>'Student Statistics (Headcount)'!D15</f>
        <v>645</v>
      </c>
      <c r="G103" s="388">
        <f>'Student Statistics (Headcount)'!E15</f>
        <v>6.0529279279279279E-2</v>
      </c>
    </row>
    <row r="104" spans="1:9" s="77" customFormat="1" ht="15" thickBot="1" x14ac:dyDescent="0.4">
      <c r="A104"/>
      <c r="C104" s="301" t="s">
        <v>133</v>
      </c>
      <c r="D104" s="389">
        <f>'Student Statistics (Headcount)'!B16</f>
        <v>6.7666137324038436E-2</v>
      </c>
      <c r="E104" s="389">
        <f>'Student Statistics (Headcount)'!C16</f>
        <v>6.4536275632351411E-2</v>
      </c>
      <c r="F104" s="344">
        <f>'Student Statistics (Headcount)'!D16</f>
        <v>-34</v>
      </c>
      <c r="G104" s="389">
        <f>'Student Statistics (Headcount)'!E16</f>
        <v>-1.3709677419354839E-2</v>
      </c>
    </row>
    <row r="105" spans="1:9" s="77" customFormat="1" ht="15" thickBot="1" x14ac:dyDescent="0.4">
      <c r="A105"/>
      <c r="C105"/>
    </row>
    <row r="106" spans="1:9" s="77" customFormat="1" ht="13.5" customHeight="1" thickBot="1" x14ac:dyDescent="0.4">
      <c r="A106"/>
      <c r="C106" s="304" t="s">
        <v>242</v>
      </c>
      <c r="D106" s="285"/>
      <c r="E106" s="285"/>
      <c r="F106" s="285"/>
      <c r="G106" s="285"/>
      <c r="H106" s="285"/>
      <c r="I106" s="286"/>
    </row>
    <row r="107" spans="1:9" s="77" customFormat="1" ht="21.5" thickBot="1" x14ac:dyDescent="0.4">
      <c r="A107"/>
      <c r="C107" s="305" t="s">
        <v>243</v>
      </c>
      <c r="D107" s="306" t="s">
        <v>244</v>
      </c>
      <c r="E107" s="306" t="str">
        <f>"Fall "&amp; Revenue!$B$1-2&amp;" headcount"</f>
        <v>Fall 23 headcount</v>
      </c>
      <c r="F107" s="306" t="str">
        <f>"Fall "&amp; Revenue!$B$1-1&amp;" headcount"</f>
        <v>Fall 24 headcount</v>
      </c>
      <c r="G107" s="306" t="str">
        <f>"Fall "&amp; Revenue!$B$1-1&amp;" % total"</f>
        <v>Fall 24 % total</v>
      </c>
      <c r="H107" s="306" t="s">
        <v>124</v>
      </c>
      <c r="I107" s="307" t="s">
        <v>125</v>
      </c>
    </row>
    <row r="108" spans="1:9" s="77" customFormat="1" x14ac:dyDescent="0.35">
      <c r="A108"/>
      <c r="C108" s="308" t="s">
        <v>127</v>
      </c>
      <c r="D108" s="390" t="s">
        <v>167</v>
      </c>
      <c r="E108" s="310">
        <f>'Enrollment Summary'!C8</f>
        <v>17569</v>
      </c>
      <c r="F108" s="310">
        <f>'Enrollment Summary'!D8</f>
        <v>18280</v>
      </c>
      <c r="G108" s="392">
        <f>'Enrollment Summary'!E8</f>
        <v>0.57234102507905693</v>
      </c>
      <c r="H108" s="312">
        <f>'Enrollment Summary'!F8</f>
        <v>711</v>
      </c>
      <c r="I108" s="298">
        <f>'Enrollment Summary'!G8</f>
        <v>4.0469007911662587E-2</v>
      </c>
    </row>
    <row r="109" spans="1:9" s="77" customFormat="1" x14ac:dyDescent="0.35">
      <c r="A109"/>
      <c r="C109" s="313" t="s">
        <v>127</v>
      </c>
      <c r="D109" s="391" t="s">
        <v>245</v>
      </c>
      <c r="E109" s="319">
        <f>'Enrollment Summary'!C9</f>
        <v>13138</v>
      </c>
      <c r="F109" s="319">
        <f>'Enrollment Summary'!D9</f>
        <v>13659</v>
      </c>
      <c r="G109" s="393">
        <f>'Enrollment Summary'!E9</f>
        <v>0.42765897492094307</v>
      </c>
      <c r="H109" s="315">
        <f>'Enrollment Summary'!F9</f>
        <v>521</v>
      </c>
      <c r="I109" s="299">
        <f>'Enrollment Summary'!G9</f>
        <v>3.9655959811234584E-2</v>
      </c>
    </row>
    <row r="110" spans="1:9" s="77" customFormat="1" ht="15" thickBot="1" x14ac:dyDescent="0.4">
      <c r="A110"/>
      <c r="C110" s="313" t="s">
        <v>127</v>
      </c>
      <c r="D110" s="391" t="s">
        <v>94</v>
      </c>
      <c r="E110" s="316">
        <f>SUM(E108:E109)</f>
        <v>30707</v>
      </c>
      <c r="F110" s="316">
        <f>SUM(F108:F109)</f>
        <v>31939</v>
      </c>
      <c r="G110" s="394">
        <f>SUM(G108:G109)</f>
        <v>1</v>
      </c>
      <c r="H110" s="322">
        <f>'Enrollment Summary'!F10</f>
        <v>1232</v>
      </c>
      <c r="I110" s="303">
        <f>'Enrollment Summary'!G10</f>
        <v>4.0121145015794446E-2</v>
      </c>
    </row>
    <row r="111" spans="1:9" s="77" customFormat="1" x14ac:dyDescent="0.35">
      <c r="A111"/>
      <c r="C111" s="317" t="s">
        <v>128</v>
      </c>
      <c r="D111" s="318" t="s">
        <v>167</v>
      </c>
      <c r="E111" s="319">
        <f>'Enrollment Summary'!C11</f>
        <v>3619</v>
      </c>
      <c r="F111" s="319">
        <f>'Enrollment Summary'!D11</f>
        <v>3728</v>
      </c>
      <c r="G111" s="393">
        <f>'Enrollment Summary'!E11</f>
        <v>0.57451071043304058</v>
      </c>
      <c r="H111" s="312">
        <f>'Enrollment Summary'!F11</f>
        <v>109</v>
      </c>
      <c r="I111" s="298">
        <f>'Enrollment Summary'!G11</f>
        <v>3.0118817352859907E-2</v>
      </c>
    </row>
    <row r="112" spans="1:9" s="77" customFormat="1" x14ac:dyDescent="0.35">
      <c r="A112"/>
      <c r="C112" s="313" t="s">
        <v>128</v>
      </c>
      <c r="D112" s="314" t="s">
        <v>245</v>
      </c>
      <c r="E112" s="319">
        <f>'Enrollment Summary'!C12</f>
        <v>2827</v>
      </c>
      <c r="F112" s="319">
        <f>'Enrollment Summary'!D12</f>
        <v>2761</v>
      </c>
      <c r="G112" s="393">
        <f>'Enrollment Summary'!E12</f>
        <v>0.42548928956695947</v>
      </c>
      <c r="H112" s="315">
        <f>'Enrollment Summary'!F12</f>
        <v>-66</v>
      </c>
      <c r="I112" s="299">
        <f>'Enrollment Summary'!G12</f>
        <v>-2.3346303501945526E-2</v>
      </c>
    </row>
    <row r="113" spans="1:10" s="77" customFormat="1" ht="15" thickBot="1" x14ac:dyDescent="0.4">
      <c r="A113"/>
      <c r="C113" s="313" t="s">
        <v>128</v>
      </c>
      <c r="D113" s="314" t="s">
        <v>94</v>
      </c>
      <c r="E113" s="316">
        <f>SUM(E111:E112)</f>
        <v>6446</v>
      </c>
      <c r="F113" s="316">
        <f>SUM(F111:F112)</f>
        <v>6489</v>
      </c>
      <c r="G113" s="394">
        <f>SUM(G111:G112)</f>
        <v>1</v>
      </c>
      <c r="H113" s="322">
        <f>'Enrollment Summary'!F13</f>
        <v>43</v>
      </c>
      <c r="I113" s="303">
        <f>'Enrollment Summary'!G13</f>
        <v>6.6708035991312441E-3</v>
      </c>
    </row>
    <row r="114" spans="1:10" s="77" customFormat="1" x14ac:dyDescent="0.35">
      <c r="A114"/>
      <c r="C114" s="308" t="s">
        <v>170</v>
      </c>
      <c r="D114" s="309" t="s">
        <v>167</v>
      </c>
      <c r="E114" s="319">
        <f>'Enrollment Summary'!C14</f>
        <v>21188</v>
      </c>
      <c r="F114" s="319">
        <f>'Enrollment Summary'!D14</f>
        <v>22008</v>
      </c>
      <c r="G114" s="393">
        <f>'Enrollment Summary'!E14</f>
        <v>0.57270740085354432</v>
      </c>
      <c r="H114" s="312">
        <f>'Enrollment Summary'!F14</f>
        <v>820</v>
      </c>
      <c r="I114" s="298">
        <f>'Enrollment Summary'!G14</f>
        <v>3.8701151595242587E-2</v>
      </c>
    </row>
    <row r="115" spans="1:10" s="77" customFormat="1" x14ac:dyDescent="0.35">
      <c r="A115"/>
      <c r="C115" s="313" t="s">
        <v>170</v>
      </c>
      <c r="D115" s="314" t="s">
        <v>245</v>
      </c>
      <c r="E115" s="319">
        <f>'Enrollment Summary'!C15</f>
        <v>15965</v>
      </c>
      <c r="F115" s="319">
        <f>'Enrollment Summary'!D15</f>
        <v>16420</v>
      </c>
      <c r="G115" s="393">
        <f>'Enrollment Summary'!E15</f>
        <v>0.42729259914645573</v>
      </c>
      <c r="H115" s="315">
        <f>'Enrollment Summary'!F15</f>
        <v>455</v>
      </c>
      <c r="I115" s="299">
        <f>'Enrollment Summary'!G15</f>
        <v>2.8499843407453804E-2</v>
      </c>
    </row>
    <row r="116" spans="1:10" s="77" customFormat="1" ht="15" thickBot="1" x14ac:dyDescent="0.4">
      <c r="A116"/>
      <c r="C116" s="320" t="s">
        <v>170</v>
      </c>
      <c r="D116" s="321" t="s">
        <v>94</v>
      </c>
      <c r="E116" s="316">
        <f>SUM(E114:E115)</f>
        <v>37153</v>
      </c>
      <c r="F116" s="316">
        <f>SUM(F114:F115)</f>
        <v>38428</v>
      </c>
      <c r="G116" s="394">
        <f>SUM(G114:G115)</f>
        <v>1</v>
      </c>
      <c r="H116" s="322">
        <f>'Enrollment Summary'!F16</f>
        <v>1275</v>
      </c>
      <c r="I116" s="303">
        <f>'Enrollment Summary'!G16</f>
        <v>3.4317551745484884E-2</v>
      </c>
    </row>
    <row r="117" spans="1:10" s="77" customFormat="1" ht="15" thickBot="1" x14ac:dyDescent="0.4">
      <c r="A117"/>
      <c r="C117" s="225"/>
    </row>
    <row r="118" spans="1:10" s="77" customFormat="1" ht="15" thickBot="1" x14ac:dyDescent="0.4">
      <c r="A118"/>
      <c r="C118" s="323" t="str">
        <f>"Enrollment Summary by Discipline College - Undergraduate (fall 20"&amp;Revenue!B1-1&amp;" reportable hours)"</f>
        <v>Enrollment Summary by Discipline College - Undergraduate (fall 2024 reportable hours)</v>
      </c>
      <c r="D118" s="324"/>
      <c r="E118" s="324"/>
      <c r="F118" s="324"/>
      <c r="G118" s="325"/>
    </row>
    <row r="119" spans="1:10" s="77" customFormat="1" ht="21.5" thickBot="1" x14ac:dyDescent="0.4">
      <c r="A119"/>
      <c r="C119" s="326" t="s">
        <v>246</v>
      </c>
      <c r="D119" s="327" t="s">
        <v>247</v>
      </c>
      <c r="E119" s="328" t="s">
        <v>248</v>
      </c>
      <c r="F119" s="328" t="s">
        <v>249</v>
      </c>
      <c r="G119" s="328" t="s">
        <v>250</v>
      </c>
    </row>
    <row r="120" spans="1:10" s="77" customFormat="1" x14ac:dyDescent="0.35">
      <c r="A120"/>
      <c r="C120" s="329" t="s">
        <v>180</v>
      </c>
      <c r="D120" s="319">
        <f>'Enrollment Summary by School'!B8</f>
        <v>8055</v>
      </c>
      <c r="E120" s="300">
        <f>'Enrollment Summary by School'!C8</f>
        <v>13.6</v>
      </c>
      <c r="F120" s="297">
        <f>'Enrollment Summary by School'!D8</f>
        <v>5980</v>
      </c>
      <c r="G120" s="300">
        <f>'Enrollment Summary by School'!E8</f>
        <v>14.1</v>
      </c>
    </row>
    <row r="121" spans="1:10" s="77" customFormat="1" x14ac:dyDescent="0.35">
      <c r="A121"/>
      <c r="C121" s="329" t="s">
        <v>181</v>
      </c>
      <c r="D121" s="319">
        <f>'Enrollment Summary by School'!B9</f>
        <v>2561</v>
      </c>
      <c r="E121" s="300">
        <f>'Enrollment Summary by School'!C9</f>
        <v>14.5</v>
      </c>
      <c r="F121" s="297">
        <f>'Enrollment Summary by School'!D9</f>
        <v>1966</v>
      </c>
      <c r="G121" s="300">
        <f>'Enrollment Summary by School'!E9</f>
        <v>14.8</v>
      </c>
    </row>
    <row r="122" spans="1:10" s="77" customFormat="1" x14ac:dyDescent="0.35">
      <c r="A122"/>
      <c r="C122" s="329" t="s">
        <v>182</v>
      </c>
      <c r="D122" s="319">
        <f>'Enrollment Summary by School'!B10</f>
        <v>1039</v>
      </c>
      <c r="E122" s="300">
        <f>'Enrollment Summary by School'!C10</f>
        <v>13.9</v>
      </c>
      <c r="F122" s="297">
        <f>'Enrollment Summary by School'!D10</f>
        <v>1508</v>
      </c>
      <c r="G122" s="300">
        <f>'Enrollment Summary by School'!E10</f>
        <v>14.3</v>
      </c>
    </row>
    <row r="123" spans="1:10" s="77" customFormat="1" x14ac:dyDescent="0.35">
      <c r="A123"/>
      <c r="C123" s="329" t="s">
        <v>183</v>
      </c>
      <c r="D123" s="319">
        <f>'Enrollment Summary by School'!B11</f>
        <v>162</v>
      </c>
      <c r="E123" s="300">
        <f>'Enrollment Summary by School'!C11</f>
        <v>14.5</v>
      </c>
      <c r="F123" s="297">
        <f>'Enrollment Summary by School'!D11</f>
        <v>135</v>
      </c>
      <c r="G123" s="300">
        <f>'Enrollment Summary by School'!E11</f>
        <v>14.4</v>
      </c>
    </row>
    <row r="124" spans="1:10" s="77" customFormat="1" x14ac:dyDescent="0.35">
      <c r="A124"/>
      <c r="C124" s="329" t="s">
        <v>184</v>
      </c>
      <c r="D124" s="319">
        <f>'Enrollment Summary by School'!B12</f>
        <v>4124</v>
      </c>
      <c r="E124" s="300">
        <f>'Enrollment Summary by School'!C12</f>
        <v>14.1</v>
      </c>
      <c r="F124" s="297">
        <f>'Enrollment Summary by School'!D12</f>
        <v>2443</v>
      </c>
      <c r="G124" s="300">
        <f>'Enrollment Summary by School'!E12</f>
        <v>14.4</v>
      </c>
      <c r="J124" s="288"/>
    </row>
    <row r="125" spans="1:10" s="77" customFormat="1" x14ac:dyDescent="0.35">
      <c r="A125"/>
      <c r="C125" s="329" t="s">
        <v>185</v>
      </c>
      <c r="D125" s="319">
        <f>'Enrollment Summary by School'!B13</f>
        <v>352</v>
      </c>
      <c r="E125" s="300">
        <f>'Enrollment Summary by School'!C13</f>
        <v>14.6</v>
      </c>
      <c r="F125" s="297">
        <f>'Enrollment Summary by School'!D13</f>
        <v>331</v>
      </c>
      <c r="G125" s="300">
        <f>'Enrollment Summary by School'!E13</f>
        <v>15.3</v>
      </c>
    </row>
    <row r="126" spans="1:10" s="77" customFormat="1" x14ac:dyDescent="0.35">
      <c r="A126"/>
      <c r="C126" s="329" t="s">
        <v>186</v>
      </c>
      <c r="D126" s="319">
        <f>'Enrollment Summary by School'!B14</f>
        <v>1820</v>
      </c>
      <c r="E126" s="300">
        <f>'Enrollment Summary by School'!C14</f>
        <v>13.7</v>
      </c>
      <c r="F126" s="297">
        <f>'Enrollment Summary by School'!D14</f>
        <v>1213</v>
      </c>
      <c r="G126" s="300">
        <f>'Enrollment Summary by School'!E14</f>
        <v>14.1</v>
      </c>
    </row>
    <row r="127" spans="1:10" s="77" customFormat="1" x14ac:dyDescent="0.35">
      <c r="A127"/>
      <c r="C127" s="329" t="s">
        <v>187</v>
      </c>
      <c r="D127" s="319">
        <f>'Enrollment Summary by School'!B15</f>
        <v>167</v>
      </c>
      <c r="E127" s="300">
        <f>'Enrollment Summary by School'!C15</f>
        <v>14.6</v>
      </c>
      <c r="F127" s="297">
        <f>'Enrollment Summary by School'!D15</f>
        <v>83</v>
      </c>
      <c r="G127" s="300">
        <f>'Enrollment Summary by School'!E15</f>
        <v>15.2</v>
      </c>
    </row>
    <row r="128" spans="1:10" s="77" customFormat="1" x14ac:dyDescent="0.35">
      <c r="A128"/>
      <c r="C128" s="329" t="s">
        <v>188</v>
      </c>
      <c r="D128" s="319">
        <f>'Enrollment Summary by School'!B16</f>
        <v>182</v>
      </c>
      <c r="E128" s="300">
        <f>'Enrollment Summary by School'!C16</f>
        <v>6.6</v>
      </c>
      <c r="F128" s="297">
        <f>'Enrollment Summary by School'!D16</f>
        <v>68</v>
      </c>
      <c r="G128" s="300">
        <f>'Enrollment Summary by School'!E16</f>
        <v>6.5</v>
      </c>
    </row>
    <row r="129" spans="1:9" s="77" customFormat="1" ht="15" thickBot="1" x14ac:dyDescent="0.4">
      <c r="A129"/>
      <c r="C129" s="331" t="s">
        <v>189</v>
      </c>
      <c r="D129" s="319">
        <f>'Enrollment Summary by School'!B17</f>
        <v>43</v>
      </c>
      <c r="E129" s="300">
        <f>'Enrollment Summary by School'!C17</f>
        <v>1.8</v>
      </c>
      <c r="F129" s="297">
        <f>'Enrollment Summary by School'!D17</f>
        <v>12</v>
      </c>
      <c r="G129" s="300">
        <f>'Enrollment Summary by School'!E17</f>
        <v>2.2999999999999998</v>
      </c>
    </row>
    <row r="130" spans="1:9" s="77" customFormat="1" ht="15" thickBot="1" x14ac:dyDescent="0.4">
      <c r="A130"/>
      <c r="C130" s="331" t="s">
        <v>190</v>
      </c>
      <c r="D130" s="340">
        <f>'Enrollment Summary by School'!B18</f>
        <v>18505</v>
      </c>
      <c r="E130" s="395">
        <f>'Enrollment Summary by School'!C18</f>
        <v>13.8</v>
      </c>
      <c r="F130" s="340">
        <f>'Enrollment Summary by School'!D18</f>
        <v>13739</v>
      </c>
      <c r="G130" s="395">
        <f>'Enrollment Summary by School'!E18</f>
        <v>14.3</v>
      </c>
    </row>
    <row r="131" spans="1:9" s="77" customFormat="1" ht="15" thickBot="1" x14ac:dyDescent="0.4">
      <c r="A131"/>
      <c r="C131"/>
    </row>
    <row r="132" spans="1:9" s="77" customFormat="1" ht="15" thickBot="1" x14ac:dyDescent="0.4">
      <c r="A132"/>
      <c r="C132" s="244" t="str">
        <f>"Enrollment Summary by Discipline College - Graduate (fall 20"&amp;Revenue!B1-1&amp;" reportable hours)"</f>
        <v>Enrollment Summary by Discipline College - Graduate (fall 2024 reportable hours)</v>
      </c>
      <c r="D132" s="333"/>
      <c r="E132" s="333"/>
      <c r="F132" s="333"/>
      <c r="G132" s="334"/>
    </row>
    <row r="133" spans="1:9" s="77" customFormat="1" ht="21.5" thickBot="1" x14ac:dyDescent="0.4">
      <c r="A133"/>
      <c r="C133" s="335" t="s">
        <v>246</v>
      </c>
      <c r="D133" s="336" t="s">
        <v>247</v>
      </c>
      <c r="E133" s="337" t="s">
        <v>248</v>
      </c>
      <c r="F133" s="337" t="s">
        <v>249</v>
      </c>
      <c r="G133" s="337" t="s">
        <v>250</v>
      </c>
    </row>
    <row r="134" spans="1:9" s="77" customFormat="1" x14ac:dyDescent="0.35">
      <c r="A134"/>
      <c r="C134" s="329" t="s">
        <v>180</v>
      </c>
      <c r="D134" s="319">
        <f>'Enrollment Summary by School'!B21</f>
        <v>1420</v>
      </c>
      <c r="E134" s="300">
        <f>'Enrollment Summary by School'!C21</f>
        <v>7.3</v>
      </c>
      <c r="F134" s="396">
        <f>'Enrollment Summary by School'!D21</f>
        <v>754</v>
      </c>
      <c r="G134" s="330">
        <f>'Enrollment Summary by School'!E21</f>
        <v>7.7</v>
      </c>
      <c r="I134" s="338"/>
    </row>
    <row r="135" spans="1:9" s="77" customFormat="1" x14ac:dyDescent="0.35">
      <c r="A135"/>
      <c r="C135" s="329" t="s">
        <v>181</v>
      </c>
      <c r="D135" s="319">
        <f>'Enrollment Summary by School'!B22</f>
        <v>245</v>
      </c>
      <c r="E135" s="300">
        <f>'Enrollment Summary by School'!C22</f>
        <v>11.6</v>
      </c>
      <c r="F135" s="396">
        <f>'Enrollment Summary by School'!D22</f>
        <v>206</v>
      </c>
      <c r="G135" s="330">
        <f>'Enrollment Summary by School'!E22</f>
        <v>12.5</v>
      </c>
    </row>
    <row r="136" spans="1:9" s="77" customFormat="1" x14ac:dyDescent="0.35">
      <c r="A136"/>
      <c r="C136" s="329" t="s">
        <v>182</v>
      </c>
      <c r="D136" s="319">
        <f>'Enrollment Summary by School'!B23</f>
        <v>91</v>
      </c>
      <c r="E136" s="300">
        <f>'Enrollment Summary by School'!C23</f>
        <v>7.9</v>
      </c>
      <c r="F136" s="396">
        <f>'Enrollment Summary by School'!D23</f>
        <v>86</v>
      </c>
      <c r="G136" s="330">
        <f>'Enrollment Summary by School'!E23</f>
        <v>8.6999999999999993</v>
      </c>
    </row>
    <row r="137" spans="1:9" s="77" customFormat="1" x14ac:dyDescent="0.35">
      <c r="A137"/>
      <c r="C137" s="329" t="s">
        <v>183</v>
      </c>
      <c r="D137" s="319">
        <f>'Enrollment Summary by School'!B24</f>
        <v>125</v>
      </c>
      <c r="E137" s="300">
        <f>'Enrollment Summary by School'!C24</f>
        <v>8</v>
      </c>
      <c r="F137" s="396">
        <f>'Enrollment Summary by School'!D24</f>
        <v>23</v>
      </c>
      <c r="G137" s="330">
        <f>'Enrollment Summary by School'!E24</f>
        <v>10.7</v>
      </c>
    </row>
    <row r="138" spans="1:9" s="77" customFormat="1" x14ac:dyDescent="0.35">
      <c r="A138"/>
      <c r="C138" s="329" t="s">
        <v>184</v>
      </c>
      <c r="D138" s="319">
        <f>'Enrollment Summary by School'!B25</f>
        <v>1272</v>
      </c>
      <c r="E138" s="300">
        <f>'Enrollment Summary by School'!C25</f>
        <v>6.1</v>
      </c>
      <c r="F138" s="396">
        <f>'Enrollment Summary by School'!D25</f>
        <v>1242</v>
      </c>
      <c r="G138" s="330">
        <f>'Enrollment Summary by School'!E25</f>
        <v>6.9</v>
      </c>
    </row>
    <row r="139" spans="1:9" s="77" customFormat="1" x14ac:dyDescent="0.35">
      <c r="A139"/>
      <c r="C139" s="329" t="s">
        <v>192</v>
      </c>
      <c r="D139" s="319">
        <f>'Enrollment Summary by School'!B26</f>
        <v>66</v>
      </c>
      <c r="E139" s="300">
        <f>'Enrollment Summary by School'!C26</f>
        <v>6.4</v>
      </c>
      <c r="F139" s="396">
        <f>'Enrollment Summary by School'!D26</f>
        <v>239</v>
      </c>
      <c r="G139" s="330">
        <f>'Enrollment Summary by School'!E26</f>
        <v>7.6</v>
      </c>
    </row>
    <row r="140" spans="1:9" s="77" customFormat="1" x14ac:dyDescent="0.35">
      <c r="A140"/>
      <c r="C140" s="329" t="s">
        <v>193</v>
      </c>
      <c r="D140" s="319">
        <f>'Enrollment Summary by School'!B27</f>
        <v>395</v>
      </c>
      <c r="E140" s="300">
        <f>'Enrollment Summary by School'!C27</f>
        <v>15.1</v>
      </c>
      <c r="F140" s="396">
        <f>'Enrollment Summary by School'!D27</f>
        <v>151</v>
      </c>
      <c r="G140" s="330">
        <f>'Enrollment Summary by School'!E27</f>
        <v>15.1</v>
      </c>
    </row>
    <row r="141" spans="1:9" s="77" customFormat="1" x14ac:dyDescent="0.35">
      <c r="A141"/>
      <c r="C141" s="329" t="s">
        <v>187</v>
      </c>
      <c r="D141" s="319">
        <f>'Enrollment Summary by School'!B28</f>
        <v>114</v>
      </c>
      <c r="E141" s="300">
        <f>'Enrollment Summary by School'!C28</f>
        <v>8</v>
      </c>
      <c r="F141" s="396">
        <f>'Enrollment Summary by School'!D28</f>
        <v>60</v>
      </c>
      <c r="G141" s="330">
        <f>'Enrollment Summary by School'!E28</f>
        <v>5.7</v>
      </c>
    </row>
    <row r="142" spans="1:9" s="77" customFormat="1" x14ac:dyDescent="0.35">
      <c r="A142"/>
      <c r="C142" s="329" t="s">
        <v>188</v>
      </c>
      <c r="D142" s="319">
        <f>'Enrollment Summary by School'!B29</f>
        <v>32</v>
      </c>
      <c r="E142" s="300">
        <f>'Enrollment Summary by School'!C29</f>
        <v>4.0999999999999996</v>
      </c>
      <c r="F142" s="396">
        <f>'Enrollment Summary by School'!D29</f>
        <v>21</v>
      </c>
      <c r="G142" s="330">
        <f>'Enrollment Summary by School'!E29</f>
        <v>3.1</v>
      </c>
    </row>
    <row r="143" spans="1:9" s="77" customFormat="1" ht="15" thickBot="1" x14ac:dyDescent="0.4">
      <c r="A143"/>
      <c r="C143" s="331" t="s">
        <v>189</v>
      </c>
      <c r="D143" s="319">
        <f>'Enrollment Summary by School'!B30</f>
        <v>10</v>
      </c>
      <c r="E143" s="300">
        <f>'Enrollment Summary by School'!C30</f>
        <v>3.1</v>
      </c>
      <c r="F143" s="396">
        <f>'Enrollment Summary by School'!D30</f>
        <v>3</v>
      </c>
      <c r="G143" s="330">
        <f>'Enrollment Summary by School'!E30</f>
        <v>3</v>
      </c>
    </row>
    <row r="144" spans="1:9" s="77" customFormat="1" ht="15" thickBot="1" x14ac:dyDescent="0.4">
      <c r="A144"/>
      <c r="C144" s="339" t="s">
        <v>194</v>
      </c>
      <c r="D144" s="340">
        <f>'Enrollment Summary by School'!B31</f>
        <v>3770</v>
      </c>
      <c r="E144" s="395">
        <f>'Enrollment Summary by School'!C31</f>
        <v>8</v>
      </c>
      <c r="F144" s="397">
        <f>'Enrollment Summary by School'!D31</f>
        <v>2785</v>
      </c>
      <c r="G144" s="398">
        <f>'Enrollment Summary by School'!E31</f>
        <v>8.1</v>
      </c>
    </row>
    <row r="145" spans="1:13" s="77" customFormat="1" ht="15" thickBot="1" x14ac:dyDescent="0.4">
      <c r="A145"/>
      <c r="C145" s="341"/>
      <c r="D145" s="292"/>
      <c r="E145" s="342"/>
      <c r="F145" s="292"/>
      <c r="G145" s="342"/>
    </row>
    <row r="146" spans="1:13" s="77" customFormat="1" ht="15" thickBot="1" x14ac:dyDescent="0.4">
      <c r="A146"/>
      <c r="C146" s="244" t="str">
        <f>"Enrollment Summary by Discipline College - Total (fall 20"&amp;Revenue!B1-1&amp;" reportable hours)"</f>
        <v>Enrollment Summary by Discipline College - Total (fall 2024 reportable hours)</v>
      </c>
      <c r="D146" s="333"/>
      <c r="E146" s="333"/>
      <c r="F146" s="333"/>
      <c r="G146" s="334"/>
    </row>
    <row r="147" spans="1:13" s="77" customFormat="1" ht="21.5" thickBot="1" x14ac:dyDescent="0.4">
      <c r="A147"/>
      <c r="C147" s="335" t="s">
        <v>243</v>
      </c>
      <c r="D147" s="336" t="s">
        <v>247</v>
      </c>
      <c r="E147" s="337" t="s">
        <v>248</v>
      </c>
      <c r="F147" s="337" t="s">
        <v>249</v>
      </c>
      <c r="G147" s="337" t="s">
        <v>250</v>
      </c>
    </row>
    <row r="148" spans="1:13" ht="15" thickBot="1" x14ac:dyDescent="0.4">
      <c r="C148" s="343" t="s">
        <v>251</v>
      </c>
      <c r="D148" s="316">
        <f>'Enrollment Summary by School'!B32</f>
        <v>22275</v>
      </c>
      <c r="E148" s="302">
        <f>'Enrollment Summary by School'!C32</f>
        <v>12.8</v>
      </c>
      <c r="F148" s="344">
        <f>'Enrollment Summary by School'!D32</f>
        <v>16524</v>
      </c>
      <c r="G148" s="332">
        <f>'Enrollment Summary by School'!E32</f>
        <v>13.2</v>
      </c>
      <c r="I148" s="345"/>
      <c r="J148" s="346"/>
      <c r="K148" s="347"/>
      <c r="L148" s="348"/>
      <c r="M148" s="347"/>
    </row>
    <row r="149" spans="1:13" x14ac:dyDescent="0.35">
      <c r="D149" s="288"/>
    </row>
    <row r="154" spans="1:13" x14ac:dyDescent="0.35">
      <c r="D154" s="349"/>
      <c r="E154" s="349"/>
      <c r="H154" s="349"/>
      <c r="I154" s="349"/>
    </row>
    <row r="155" spans="1:13" x14ac:dyDescent="0.35">
      <c r="D155" s="292"/>
      <c r="E155" s="342"/>
      <c r="H155" s="292"/>
      <c r="I155" s="342"/>
    </row>
    <row r="156" spans="1:13" x14ac:dyDescent="0.35">
      <c r="D156" s="292"/>
      <c r="E156" s="342"/>
      <c r="H156" s="292"/>
      <c r="I156" s="342"/>
    </row>
    <row r="157" spans="1:13" x14ac:dyDescent="0.35">
      <c r="D157" s="342"/>
      <c r="E157" s="342"/>
      <c r="H157" s="292"/>
      <c r="I157" s="350"/>
    </row>
    <row r="158" spans="1:13" x14ac:dyDescent="0.35">
      <c r="D158" s="292"/>
      <c r="E158" s="342"/>
      <c r="H158" s="292"/>
      <c r="I158" s="350"/>
    </row>
    <row r="159" spans="1:13" x14ac:dyDescent="0.35">
      <c r="D159" s="292"/>
      <c r="E159" s="342"/>
      <c r="H159" s="292"/>
      <c r="I159" s="342"/>
    </row>
    <row r="160" spans="1:13" x14ac:dyDescent="0.35">
      <c r="D160" s="342"/>
      <c r="E160" s="342"/>
      <c r="H160" s="292"/>
      <c r="I160" s="342"/>
    </row>
    <row r="161" spans="4:9" x14ac:dyDescent="0.35">
      <c r="D161" s="342"/>
      <c r="E161" s="342"/>
      <c r="H161" s="292"/>
      <c r="I161" s="342"/>
    </row>
    <row r="162" spans="4:9" x14ac:dyDescent="0.35">
      <c r="D162" s="342"/>
      <c r="E162" s="342"/>
      <c r="H162" s="342"/>
      <c r="I162" s="342"/>
    </row>
    <row r="163" spans="4:9" x14ac:dyDescent="0.35">
      <c r="D163" s="342"/>
      <c r="E163" s="342"/>
      <c r="H163" s="342"/>
      <c r="I163" s="342"/>
    </row>
    <row r="164" spans="4:9" x14ac:dyDescent="0.35">
      <c r="D164" s="342"/>
      <c r="E164" s="342"/>
      <c r="H164" s="342"/>
      <c r="I164" s="350"/>
    </row>
    <row r="165" spans="4:9" x14ac:dyDescent="0.35">
      <c r="D165" s="292"/>
      <c r="E165" s="342"/>
      <c r="H165" s="342"/>
      <c r="I165" s="350"/>
    </row>
    <row r="166" spans="4:9" x14ac:dyDescent="0.35">
      <c r="D166" s="342"/>
      <c r="E166" s="350"/>
      <c r="H166" s="342"/>
      <c r="I166" s="342"/>
    </row>
    <row r="167" spans="4:9" x14ac:dyDescent="0.35">
      <c r="D167" s="342"/>
      <c r="E167" s="342"/>
      <c r="H167" s="342"/>
      <c r="I167" s="342"/>
    </row>
    <row r="168" spans="4:9" x14ac:dyDescent="0.35">
      <c r="D168" s="342"/>
      <c r="E168" s="342"/>
      <c r="H168" s="292"/>
      <c r="I168" s="342"/>
    </row>
    <row r="169" spans="4:9" x14ac:dyDescent="0.35">
      <c r="D169" s="292"/>
      <c r="E169" s="342"/>
      <c r="H169" s="292"/>
      <c r="I169" s="342"/>
    </row>
    <row r="170" spans="4:9" x14ac:dyDescent="0.35">
      <c r="D170" s="342"/>
      <c r="E170" s="342"/>
      <c r="H170" s="342"/>
      <c r="I170" s="342"/>
    </row>
    <row r="171" spans="4:9" x14ac:dyDescent="0.35">
      <c r="D171" s="342"/>
      <c r="E171" s="350"/>
      <c r="H171" s="342"/>
      <c r="I171" s="350"/>
    </row>
    <row r="172" spans="4:9" x14ac:dyDescent="0.35">
      <c r="D172" s="342"/>
      <c r="E172" s="342"/>
      <c r="H172" s="342"/>
      <c r="I172" s="342"/>
    </row>
    <row r="173" spans="4:9" x14ac:dyDescent="0.35">
      <c r="D173" s="342"/>
      <c r="E173" s="342"/>
      <c r="H173" s="342"/>
      <c r="I173" s="342"/>
    </row>
    <row r="174" spans="4:9" x14ac:dyDescent="0.35">
      <c r="D174" s="342"/>
      <c r="E174" s="342"/>
      <c r="H174" s="342"/>
      <c r="I174" s="350"/>
    </row>
    <row r="175" spans="4:9" x14ac:dyDescent="0.35">
      <c r="D175" s="288"/>
      <c r="H175" s="288"/>
    </row>
  </sheetData>
  <mergeCells count="3">
    <mergeCell ref="G29:G30"/>
    <mergeCell ref="H29:H30"/>
    <mergeCell ref="C81:I8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692F1-60A4-4C26-9992-BEE660D7E13E}">
  <sheetPr>
    <tabColor rgb="FF92D050"/>
  </sheetPr>
  <dimension ref="A1:AC15"/>
  <sheetViews>
    <sheetView workbookViewId="0">
      <selection activeCell="M36" sqref="M36"/>
    </sheetView>
  </sheetViews>
  <sheetFormatPr defaultRowHeight="14.5" x14ac:dyDescent="0.35"/>
  <cols>
    <col min="1" max="1" width="28" customWidth="1"/>
    <col min="2" max="5" width="9.7265625" customWidth="1"/>
    <col min="16" max="16" width="8.54296875" customWidth="1"/>
    <col min="17" max="17" width="8.7265625" customWidth="1"/>
    <col min="19" max="19" width="28.81640625" bestFit="1" customWidth="1"/>
    <col min="20" max="20" width="7.1796875" bestFit="1" customWidth="1"/>
    <col min="21" max="21" width="6.54296875" bestFit="1" customWidth="1"/>
    <col min="22" max="22" width="8" customWidth="1"/>
    <col min="23" max="23" width="7.7265625" customWidth="1"/>
  </cols>
  <sheetData>
    <row r="1" spans="1:29" x14ac:dyDescent="0.35">
      <c r="A1" t="s">
        <v>24</v>
      </c>
      <c r="B1" s="41"/>
      <c r="S1" s="83"/>
      <c r="T1" s="91">
        <v>21</v>
      </c>
      <c r="U1" s="91">
        <v>22</v>
      </c>
      <c r="V1" s="91">
        <v>23</v>
      </c>
      <c r="W1" s="91">
        <v>24</v>
      </c>
      <c r="X1" s="91">
        <v>25</v>
      </c>
      <c r="Y1" s="91">
        <v>26</v>
      </c>
      <c r="Z1" s="91">
        <v>27</v>
      </c>
      <c r="AA1" s="91">
        <v>28</v>
      </c>
      <c r="AB1" s="91">
        <v>29</v>
      </c>
      <c r="AC1" s="91">
        <v>30</v>
      </c>
    </row>
    <row r="2" spans="1:29" x14ac:dyDescent="0.35">
      <c r="A2" t="s">
        <v>27</v>
      </c>
      <c r="B2" t="s">
        <v>38</v>
      </c>
      <c r="S2" s="83" t="s">
        <v>82</v>
      </c>
      <c r="T2" s="432">
        <v>0.373</v>
      </c>
      <c r="U2" s="432">
        <v>0.379</v>
      </c>
      <c r="V2" s="433">
        <v>0.379</v>
      </c>
      <c r="W2" s="433">
        <v>0.39100000000000001</v>
      </c>
      <c r="X2" s="433">
        <v>0.4</v>
      </c>
      <c r="Y2" s="433"/>
      <c r="Z2" s="433"/>
      <c r="AA2" s="433"/>
      <c r="AB2" s="433"/>
      <c r="AC2" s="433"/>
    </row>
    <row r="3" spans="1:29" x14ac:dyDescent="0.35">
      <c r="S3" s="83" t="s">
        <v>87</v>
      </c>
      <c r="T3" s="432">
        <v>0.16</v>
      </c>
      <c r="U3" s="432">
        <v>0.16500000000000001</v>
      </c>
      <c r="V3" s="433">
        <v>0.16500000000000001</v>
      </c>
      <c r="W3" s="433">
        <v>0.15</v>
      </c>
      <c r="X3" s="433">
        <v>0.14599999999999999</v>
      </c>
      <c r="Y3" s="433"/>
      <c r="Z3" s="433"/>
      <c r="AA3" s="433"/>
      <c r="AB3" s="433"/>
      <c r="AC3" s="433"/>
    </row>
    <row r="4" spans="1:29" x14ac:dyDescent="0.35">
      <c r="S4" s="83" t="s">
        <v>83</v>
      </c>
      <c r="T4" s="432">
        <v>0</v>
      </c>
      <c r="U4" s="432">
        <v>0</v>
      </c>
      <c r="V4" s="433">
        <v>0</v>
      </c>
      <c r="W4" s="433">
        <v>0</v>
      </c>
      <c r="X4" s="433">
        <v>0</v>
      </c>
      <c r="Y4" s="433"/>
      <c r="Z4" s="433"/>
      <c r="AA4" s="433"/>
      <c r="AB4" s="433"/>
      <c r="AC4" s="433"/>
    </row>
    <row r="5" spans="1:29" x14ac:dyDescent="0.35">
      <c r="A5" s="34" t="s">
        <v>28</v>
      </c>
      <c r="B5" s="458" t="str">
        <f>"effective 07/1/"&amp;Revenue!B1-2</f>
        <v>effective 07/1/23</v>
      </c>
      <c r="C5" s="459"/>
      <c r="D5" s="458" t="str">
        <f>"effective 07/1/"&amp;Revenue!B1-1</f>
        <v>effective 07/1/24</v>
      </c>
      <c r="E5" s="459"/>
      <c r="S5" s="83" t="s">
        <v>88</v>
      </c>
      <c r="T5" s="432">
        <v>1.2999999999999999E-2</v>
      </c>
      <c r="U5" s="432">
        <v>1.7000000000000001E-2</v>
      </c>
      <c r="V5" s="433">
        <v>1.7000000000000001E-2</v>
      </c>
      <c r="W5" s="433">
        <v>1.2E-2</v>
      </c>
      <c r="X5" s="433">
        <v>1.7999999999999999E-2</v>
      </c>
      <c r="Y5" s="433"/>
      <c r="Z5" s="433"/>
      <c r="AA5" s="433"/>
      <c r="AB5" s="433"/>
      <c r="AC5" s="433"/>
    </row>
    <row r="6" spans="1:29" x14ac:dyDescent="0.35">
      <c r="A6" s="3" t="s">
        <v>29</v>
      </c>
      <c r="B6" s="35" t="s">
        <v>30</v>
      </c>
      <c r="C6" s="36" t="s">
        <v>31</v>
      </c>
      <c r="D6" s="35" t="s">
        <v>30</v>
      </c>
      <c r="E6" s="36" t="s">
        <v>31</v>
      </c>
      <c r="S6" s="83" t="s">
        <v>84</v>
      </c>
      <c r="T6" s="432">
        <v>0.373</v>
      </c>
      <c r="U6" s="432">
        <v>0.379</v>
      </c>
      <c r="V6" s="433">
        <v>0.379</v>
      </c>
      <c r="W6" s="433">
        <v>0.39100000000000001</v>
      </c>
      <c r="X6" s="433">
        <v>0.4</v>
      </c>
      <c r="Y6" s="433"/>
      <c r="Z6" s="433"/>
      <c r="AA6" s="433"/>
      <c r="AB6" s="433"/>
      <c r="AC6" s="433"/>
    </row>
    <row r="7" spans="1:29" x14ac:dyDescent="0.35">
      <c r="A7" s="37" t="s">
        <v>32</v>
      </c>
      <c r="B7" s="38">
        <f>HLOOKUP(Revenue!$B$1-1,$S:$AC,2,FALSE)</f>
        <v>0.39100000000000001</v>
      </c>
      <c r="C7" s="38">
        <f>HLOOKUP(Revenue!$B$1-1,$S:$AC,3,FALSE)</f>
        <v>0.15</v>
      </c>
      <c r="D7" s="38">
        <f>HLOOKUP(Revenue!$B$1,$S:$AC,2,FALSE)</f>
        <v>0.4</v>
      </c>
      <c r="E7" s="38">
        <f>HLOOKUP(Revenue!$B$1,$S:$AC,3,FALSE)</f>
        <v>0.14599999999999999</v>
      </c>
      <c r="S7" s="83" t="s">
        <v>89</v>
      </c>
      <c r="T7" s="432">
        <v>0.16</v>
      </c>
      <c r="U7" s="432">
        <v>0.16500000000000001</v>
      </c>
      <c r="V7" s="433">
        <v>0.16500000000000001</v>
      </c>
      <c r="W7" s="433">
        <v>0.15</v>
      </c>
      <c r="X7" s="433">
        <v>0.14599999999999999</v>
      </c>
      <c r="Y7" s="433"/>
      <c r="Z7" s="433"/>
      <c r="AA7" s="433"/>
      <c r="AB7" s="433"/>
      <c r="AC7" s="433"/>
    </row>
    <row r="8" spans="1:29" x14ac:dyDescent="0.35">
      <c r="A8" s="8" t="s">
        <v>33</v>
      </c>
      <c r="B8" s="38">
        <f>HLOOKUP(Revenue!$B$1-1,$S:$AC,4,FALSE)</f>
        <v>0</v>
      </c>
      <c r="C8" s="38">
        <f>HLOOKUP(Revenue!$B$1-1,$S:$AC,5,FALSE)</f>
        <v>1.2E-2</v>
      </c>
      <c r="D8" s="38">
        <f>HLOOKUP(Revenue!$B$1,$S:$AC,4,FALSE)</f>
        <v>0</v>
      </c>
      <c r="E8" s="38">
        <f>HLOOKUP(Revenue!$B$1,$S:$AC,5,FALSE)</f>
        <v>1.7999999999999999E-2</v>
      </c>
      <c r="S8" s="83" t="s">
        <v>85</v>
      </c>
      <c r="T8" s="432">
        <v>0.28999999999999998</v>
      </c>
      <c r="U8" s="432">
        <v>0.29399999999999998</v>
      </c>
      <c r="V8" s="433">
        <v>0.29399999999999998</v>
      </c>
      <c r="W8" s="433">
        <v>0.308</v>
      </c>
      <c r="X8" s="433">
        <v>0.31</v>
      </c>
      <c r="Y8" s="433"/>
      <c r="Z8" s="433"/>
      <c r="AA8" s="433"/>
      <c r="AB8" s="433"/>
      <c r="AC8" s="433"/>
    </row>
    <row r="9" spans="1:29" x14ac:dyDescent="0.35">
      <c r="A9" s="8" t="s">
        <v>35</v>
      </c>
      <c r="B9" s="38">
        <f>HLOOKUP(Revenue!$B$1-1,$S:$AC,6,FALSE)</f>
        <v>0.39100000000000001</v>
      </c>
      <c r="C9" s="38">
        <f>HLOOKUP(Revenue!$B$1-1,$S:$AC,7,FALSE)</f>
        <v>0.15</v>
      </c>
      <c r="D9" s="38">
        <f>HLOOKUP(Revenue!$B$1,$S:$AC,6,FALSE)</f>
        <v>0.4</v>
      </c>
      <c r="E9" s="38">
        <f>HLOOKUP(Revenue!$B$1,$S:$AC,7,FALSE)</f>
        <v>0.14599999999999999</v>
      </c>
      <c r="S9" s="83" t="s">
        <v>90</v>
      </c>
      <c r="T9" s="432">
        <v>0</v>
      </c>
      <c r="U9" s="432">
        <v>0</v>
      </c>
      <c r="V9" s="433">
        <v>0</v>
      </c>
      <c r="W9" s="433">
        <v>0</v>
      </c>
      <c r="X9" s="433">
        <v>0</v>
      </c>
      <c r="Y9" s="433"/>
      <c r="Z9" s="433"/>
      <c r="AA9" s="433"/>
      <c r="AB9" s="433"/>
      <c r="AC9" s="433"/>
    </row>
    <row r="10" spans="1:29" x14ac:dyDescent="0.35">
      <c r="A10" s="8" t="s">
        <v>36</v>
      </c>
      <c r="B10" s="38">
        <f>HLOOKUP(Revenue!$B$1-1,$S:$AC,8,FALSE)</f>
        <v>0.308</v>
      </c>
      <c r="C10" s="38">
        <f>HLOOKUP(Revenue!$B$1-1,$S:$AC,9,FALSE)</f>
        <v>0</v>
      </c>
      <c r="D10" s="38">
        <f>HLOOKUP(Revenue!$B$1,$S:$AC,8,FALSE)</f>
        <v>0.31</v>
      </c>
      <c r="E10" s="38">
        <f>HLOOKUP(Revenue!$B$1,$S:$AC,9,FALSE)</f>
        <v>0</v>
      </c>
      <c r="S10" s="83" t="s">
        <v>86</v>
      </c>
      <c r="T10" s="432">
        <v>0</v>
      </c>
      <c r="U10" s="432">
        <v>0</v>
      </c>
      <c r="V10" s="433">
        <v>0</v>
      </c>
      <c r="W10" s="433">
        <v>0</v>
      </c>
      <c r="X10" s="433">
        <v>0</v>
      </c>
      <c r="Y10" s="433"/>
      <c r="Z10" s="433"/>
      <c r="AA10" s="433"/>
      <c r="AB10" s="433"/>
      <c r="AC10" s="433"/>
    </row>
    <row r="11" spans="1:29" x14ac:dyDescent="0.35">
      <c r="A11" s="39" t="s">
        <v>37</v>
      </c>
      <c r="B11" s="40">
        <f>HLOOKUP(Revenue!$B$1-1,$S:$AC,10,FALSE)</f>
        <v>0</v>
      </c>
      <c r="C11" s="40">
        <f>HLOOKUP(Revenue!$B$1-1,$S:$AC,11,FALSE)</f>
        <v>9.5000000000000001E-2</v>
      </c>
      <c r="D11" s="40">
        <f>HLOOKUP(Revenue!$B$1,$S:$AC,10,FALSE)</f>
        <v>0</v>
      </c>
      <c r="E11" s="40">
        <f>HLOOKUP(Revenue!$B$1,$S:$AC,11,FALSE)</f>
        <v>0.114</v>
      </c>
      <c r="S11" s="83" t="s">
        <v>91</v>
      </c>
      <c r="T11" s="432">
        <v>0.11</v>
      </c>
      <c r="U11" s="432">
        <v>9.2999999999999999E-2</v>
      </c>
      <c r="V11" s="433">
        <v>9.2999999999999999E-2</v>
      </c>
      <c r="W11" s="433">
        <v>9.5000000000000001E-2</v>
      </c>
      <c r="X11" s="433">
        <v>0.114</v>
      </c>
      <c r="Y11" s="433"/>
      <c r="Z11" s="433"/>
      <c r="AA11" s="433"/>
      <c r="AB11" s="433"/>
      <c r="AC11" s="433"/>
    </row>
    <row r="15" spans="1:29" ht="15.5" x14ac:dyDescent="0.35">
      <c r="A15" s="42" t="s">
        <v>39</v>
      </c>
    </row>
  </sheetData>
  <mergeCells count="2">
    <mergeCell ref="B5:C5"/>
    <mergeCell ref="D5:E5"/>
  </mergeCells>
  <pageMargins left="0.7" right="0.7" top="0.75" bottom="0.75" header="0.3" footer="0.3"/>
  <pageSetup orientation="portrait" horizontalDpi="1200" verticalDpi="1200" r:id="rId1"/>
  <ignoredErrors>
    <ignoredError sqref="C7:C1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937CA-2D58-4435-96F7-A5FF9AB21065}">
  <sheetPr>
    <tabColor rgb="FF92D050"/>
  </sheetPr>
  <dimension ref="A1:K15"/>
  <sheetViews>
    <sheetView workbookViewId="0">
      <selection activeCell="E11" sqref="E11"/>
    </sheetView>
  </sheetViews>
  <sheetFormatPr defaultRowHeight="14.5" x14ac:dyDescent="0.35"/>
  <cols>
    <col min="11" max="11" width="9.1796875" hidden="1" customWidth="1"/>
  </cols>
  <sheetData>
    <row r="1" spans="1:11" x14ac:dyDescent="0.35">
      <c r="A1" t="s">
        <v>24</v>
      </c>
      <c r="B1" s="41" t="s">
        <v>51</v>
      </c>
    </row>
    <row r="2" spans="1:11" x14ac:dyDescent="0.35">
      <c r="A2" t="s">
        <v>27</v>
      </c>
      <c r="B2" t="s">
        <v>38</v>
      </c>
      <c r="K2">
        <f>IF(ISODD(Revenue!B1),Revenue!B1,Revenue!B1+1)</f>
        <v>25</v>
      </c>
    </row>
    <row r="3" spans="1:11" x14ac:dyDescent="0.35">
      <c r="K3">
        <f>K2-2</f>
        <v>23</v>
      </c>
    </row>
    <row r="5" spans="1:11" x14ac:dyDescent="0.35">
      <c r="A5" s="43" t="s">
        <v>40</v>
      </c>
      <c r="B5" s="16" t="s">
        <v>41</v>
      </c>
      <c r="C5" s="44" t="s">
        <v>42</v>
      </c>
      <c r="D5" s="45" t="s">
        <v>43</v>
      </c>
      <c r="E5" s="16" t="s">
        <v>44</v>
      </c>
    </row>
    <row r="6" spans="1:11" x14ac:dyDescent="0.35">
      <c r="A6" s="46" t="s">
        <v>45</v>
      </c>
      <c r="B6" s="46" t="s">
        <v>46</v>
      </c>
      <c r="C6" s="80" t="str">
        <f>"07/1/20"&amp;$K$3</f>
        <v>07/1/2023</v>
      </c>
      <c r="D6" s="80" t="str">
        <f>"6/30/20"&amp;$K$2</f>
        <v>6/30/2025</v>
      </c>
      <c r="E6" s="78">
        <v>0.56499999999999995</v>
      </c>
    </row>
    <row r="7" spans="1:11" x14ac:dyDescent="0.35">
      <c r="A7" s="46" t="s">
        <v>45</v>
      </c>
      <c r="B7" s="46" t="s">
        <v>47</v>
      </c>
      <c r="C7" s="81" t="str">
        <f t="shared" ref="C7:C10" si="0">"07/1/20"&amp;$K$3</f>
        <v>07/1/2023</v>
      </c>
      <c r="D7" s="81" t="str">
        <f t="shared" ref="D7:D10" si="1">"6/30/20"&amp;$K$2</f>
        <v>6/30/2025</v>
      </c>
      <c r="E7" s="78">
        <v>0.26</v>
      </c>
    </row>
    <row r="8" spans="1:11" x14ac:dyDescent="0.35">
      <c r="A8" s="46" t="s">
        <v>48</v>
      </c>
      <c r="B8" s="46" t="s">
        <v>46</v>
      </c>
      <c r="C8" s="81" t="str">
        <f t="shared" si="0"/>
        <v>07/1/2023</v>
      </c>
      <c r="D8" s="81" t="str">
        <f t="shared" si="1"/>
        <v>6/30/2025</v>
      </c>
      <c r="E8" s="78">
        <v>0.47499999999999998</v>
      </c>
    </row>
    <row r="9" spans="1:11" x14ac:dyDescent="0.35">
      <c r="A9" s="46" t="s">
        <v>48</v>
      </c>
      <c r="B9" s="46" t="s">
        <v>47</v>
      </c>
      <c r="C9" s="81" t="str">
        <f t="shared" si="0"/>
        <v>07/1/2023</v>
      </c>
      <c r="D9" s="81" t="str">
        <f t="shared" si="1"/>
        <v>6/30/2025</v>
      </c>
      <c r="E9" s="78">
        <v>0.26</v>
      </c>
    </row>
    <row r="10" spans="1:11" x14ac:dyDescent="0.35">
      <c r="A10" s="47" t="s">
        <v>49</v>
      </c>
      <c r="B10" s="47" t="s">
        <v>50</v>
      </c>
      <c r="C10" s="82" t="str">
        <f t="shared" si="0"/>
        <v>07/1/2023</v>
      </c>
      <c r="D10" s="82" t="str">
        <f t="shared" si="1"/>
        <v>6/30/2025</v>
      </c>
      <c r="E10" s="79">
        <v>0.43</v>
      </c>
    </row>
    <row r="15" spans="1:11" ht="15.5" x14ac:dyDescent="0.35">
      <c r="A15" s="42" t="s">
        <v>39</v>
      </c>
    </row>
  </sheetData>
  <hyperlinks>
    <hyperlink ref="B1" r:id="rId1" xr:uid="{32ED3126-0D3E-458B-847A-78C51AFF8E0F}"/>
  </hyperlinks>
  <pageMargins left="0.7" right="0.7" top="0.75" bottom="0.75" header="0.3" footer="0.3"/>
  <ignoredErrors>
    <ignoredError sqref="D6 C7:D10"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BBBAC-2DEF-4988-A7FB-4457A83F644A}">
  <sheetPr>
    <tabColor rgb="FF92D050"/>
  </sheetPr>
  <dimension ref="A1:AB19"/>
  <sheetViews>
    <sheetView zoomScaleNormal="100" workbookViewId="0">
      <selection activeCell="A13" sqref="A13"/>
    </sheetView>
  </sheetViews>
  <sheetFormatPr defaultRowHeight="14.5" x14ac:dyDescent="0.35"/>
  <sheetData>
    <row r="1" spans="1:28" x14ac:dyDescent="0.35">
      <c r="A1" t="s">
        <v>24</v>
      </c>
      <c r="B1" s="41" t="s">
        <v>60</v>
      </c>
    </row>
    <row r="2" spans="1:28" x14ac:dyDescent="0.35">
      <c r="A2" t="s">
        <v>27</v>
      </c>
    </row>
    <row r="3" spans="1:28" x14ac:dyDescent="0.35">
      <c r="A3" t="s">
        <v>61</v>
      </c>
      <c r="B3" t="s">
        <v>62</v>
      </c>
    </row>
    <row r="4" spans="1:28" x14ac:dyDescent="0.35">
      <c r="B4" t="s">
        <v>63</v>
      </c>
      <c r="U4" s="460" t="s">
        <v>52</v>
      </c>
      <c r="V4" s="461"/>
      <c r="W4" s="461"/>
      <c r="X4" s="461"/>
      <c r="Y4" s="461"/>
      <c r="Z4" s="461"/>
      <c r="AA4" s="461"/>
      <c r="AB4" s="462"/>
    </row>
    <row r="5" spans="1:28" ht="31.5" x14ac:dyDescent="0.35">
      <c r="U5" s="35" t="s">
        <v>53</v>
      </c>
      <c r="V5" s="51" t="s">
        <v>54</v>
      </c>
      <c r="W5" s="51" t="s">
        <v>55</v>
      </c>
      <c r="X5" s="52" t="s">
        <v>56</v>
      </c>
      <c r="Y5" s="35" t="s">
        <v>57</v>
      </c>
      <c r="Z5" s="51" t="s">
        <v>58</v>
      </c>
      <c r="AA5" s="35" t="s">
        <v>59</v>
      </c>
      <c r="AB5" s="35" t="s">
        <v>57</v>
      </c>
    </row>
    <row r="6" spans="1:28" x14ac:dyDescent="0.35">
      <c r="A6" s="460" t="s">
        <v>52</v>
      </c>
      <c r="B6" s="461"/>
      <c r="C6" s="461"/>
      <c r="D6" s="461"/>
      <c r="E6" s="461"/>
      <c r="F6" s="461"/>
      <c r="G6" s="461"/>
      <c r="H6" s="462"/>
      <c r="U6" s="53" t="s">
        <v>209</v>
      </c>
      <c r="V6" s="54">
        <v>2348</v>
      </c>
      <c r="W6" s="54">
        <v>2019</v>
      </c>
      <c r="X6" s="55">
        <v>507.9</v>
      </c>
      <c r="Y6" s="56">
        <v>0.16300000000000001</v>
      </c>
      <c r="Z6" s="55">
        <v>463.6</v>
      </c>
      <c r="AA6" s="57">
        <v>89.9</v>
      </c>
      <c r="AB6" s="56">
        <v>-2.5000000000000001E-2</v>
      </c>
    </row>
    <row r="7" spans="1:28" ht="31.5" x14ac:dyDescent="0.35">
      <c r="A7" s="35" t="s">
        <v>53</v>
      </c>
      <c r="B7" s="51" t="s">
        <v>54</v>
      </c>
      <c r="C7" s="51" t="s">
        <v>55</v>
      </c>
      <c r="D7" s="52" t="s">
        <v>56</v>
      </c>
      <c r="E7" s="35" t="s">
        <v>57</v>
      </c>
      <c r="F7" s="51" t="s">
        <v>58</v>
      </c>
      <c r="G7" s="35" t="s">
        <v>59</v>
      </c>
      <c r="H7" s="35" t="s">
        <v>57</v>
      </c>
      <c r="U7" s="53" t="s">
        <v>210</v>
      </c>
      <c r="V7" s="54">
        <v>2415</v>
      </c>
      <c r="W7" s="54">
        <v>2195</v>
      </c>
      <c r="X7" s="55">
        <v>511.1</v>
      </c>
      <c r="Y7" s="56">
        <f>(X7-X6)/X6</f>
        <v>6.300452845048328E-3</v>
      </c>
      <c r="Z7" s="55">
        <v>496.7</v>
      </c>
      <c r="AA7" s="57">
        <v>105.8</v>
      </c>
      <c r="AB7" s="56">
        <f t="shared" ref="AB7:AB15" si="0">(AA7-AA6)/AA6</f>
        <v>0.17686318131256942</v>
      </c>
    </row>
    <row r="8" spans="1:28" x14ac:dyDescent="0.35">
      <c r="A8" s="3" t="str">
        <f>"20"&amp;(Revenue!$B$1-7)&amp;"-20"&amp;(Revenue!$B$1-6)</f>
        <v>2018-2019</v>
      </c>
      <c r="B8" s="54">
        <f>VLOOKUP(A8,$U:$AB,2,FALSE)</f>
        <v>2412</v>
      </c>
      <c r="C8" s="54">
        <f>VLOOKUP(A8,$U:$AB,3,FALSE)</f>
        <v>2299</v>
      </c>
      <c r="D8" s="85">
        <f>VLOOKUP(A8,$U:$AB,4,FALSE)</f>
        <v>630.9</v>
      </c>
      <c r="E8" s="84">
        <f>VLOOKUP(A8,$U:$AB,5,FALSE)</f>
        <v>0.23439639992173733</v>
      </c>
      <c r="F8" s="85">
        <f>VLOOKUP(A8,$U:$AB,6,FALSE)</f>
        <v>489.9</v>
      </c>
      <c r="G8" s="85">
        <f>VLOOKUP(A8,$U:$AB,7,FALSE)</f>
        <v>109.06</v>
      </c>
      <c r="H8" s="84">
        <f>VLOOKUP(A8,$U:$AB,8,FALSE)</f>
        <v>3.0812854442344096E-2</v>
      </c>
      <c r="U8" s="53" t="s">
        <v>211</v>
      </c>
      <c r="V8" s="54">
        <v>2412</v>
      </c>
      <c r="W8" s="54">
        <v>2299</v>
      </c>
      <c r="X8" s="55">
        <v>630.9</v>
      </c>
      <c r="Y8" s="56">
        <f t="shared" ref="Y8:Y15" si="1">(X8-X7)/X7</f>
        <v>0.23439639992173733</v>
      </c>
      <c r="Z8" s="55">
        <v>489.9</v>
      </c>
      <c r="AA8" s="57">
        <v>109.06</v>
      </c>
      <c r="AB8" s="56">
        <f t="shared" si="0"/>
        <v>3.0812854442344096E-2</v>
      </c>
    </row>
    <row r="9" spans="1:28" x14ac:dyDescent="0.35">
      <c r="A9" s="3" t="str">
        <f>"20"&amp;(Revenue!$B$1-6)&amp;"-20"&amp;(Revenue!$B$1-5)</f>
        <v>2019-2020</v>
      </c>
      <c r="B9" s="54">
        <f t="shared" ref="B9:B13" si="2">VLOOKUP(A9,$U:$AB,2,FALSE)</f>
        <v>2383</v>
      </c>
      <c r="C9" s="54">
        <f t="shared" ref="C9:C13" si="3">VLOOKUP(A9,$U:$AB,3,FALSE)</f>
        <v>2262</v>
      </c>
      <c r="D9" s="85">
        <f t="shared" ref="D9:D13" si="4">VLOOKUP(A9,$U:$AB,4,FALSE)</f>
        <v>613.92999999999995</v>
      </c>
      <c r="E9" s="84">
        <f t="shared" ref="E9:E13" si="5">VLOOKUP(A9,$U:$AB,5,FALSE)</f>
        <v>-2.689808210492951E-2</v>
      </c>
      <c r="F9" s="85">
        <f t="shared" ref="F9:F13" si="6">VLOOKUP(A9,$U:$AB,6,FALSE)</f>
        <v>499.54</v>
      </c>
      <c r="G9" s="85">
        <f t="shared" ref="G9:G13" si="7">VLOOKUP(A9,$U:$AB,7,FALSE)</f>
        <v>108.96</v>
      </c>
      <c r="H9" s="84">
        <f t="shared" ref="H9:H13" si="8">VLOOKUP(A9,$U:$AB,8,FALSE)</f>
        <v>-9.1692646249778582E-4</v>
      </c>
      <c r="U9" s="58" t="s">
        <v>212</v>
      </c>
      <c r="V9" s="59">
        <v>2383</v>
      </c>
      <c r="W9" s="59">
        <v>2262</v>
      </c>
      <c r="X9" s="60">
        <v>613.92999999999995</v>
      </c>
      <c r="Y9" s="56">
        <f t="shared" si="1"/>
        <v>-2.689808210492951E-2</v>
      </c>
      <c r="Z9" s="60">
        <v>499.54</v>
      </c>
      <c r="AA9" s="60">
        <v>108.96</v>
      </c>
      <c r="AB9" s="56">
        <f t="shared" si="0"/>
        <v>-9.1692646249778582E-4</v>
      </c>
    </row>
    <row r="10" spans="1:28" x14ac:dyDescent="0.35">
      <c r="A10" s="3" t="str">
        <f>"20"&amp;(Revenue!$B$1-5)&amp;"-20"&amp;(Revenue!$B$1-4)</f>
        <v>2020-2021</v>
      </c>
      <c r="B10" s="54">
        <f t="shared" si="2"/>
        <v>2515</v>
      </c>
      <c r="C10" s="54">
        <f t="shared" si="3"/>
        <v>2257</v>
      </c>
      <c r="D10" s="85">
        <f t="shared" si="4"/>
        <v>634.4</v>
      </c>
      <c r="E10" s="84">
        <f t="shared" si="5"/>
        <v>3.3342563484436386E-2</v>
      </c>
      <c r="F10" s="85">
        <f t="shared" si="6"/>
        <v>499.5</v>
      </c>
      <c r="G10" s="85">
        <f t="shared" si="7"/>
        <v>116.5</v>
      </c>
      <c r="H10" s="84">
        <f t="shared" si="8"/>
        <v>6.9199706314243825E-2</v>
      </c>
      <c r="U10" s="3" t="s">
        <v>213</v>
      </c>
      <c r="V10" s="59">
        <v>2515</v>
      </c>
      <c r="W10" s="61">
        <v>2257</v>
      </c>
      <c r="X10" s="62">
        <v>634.4</v>
      </c>
      <c r="Y10" s="56">
        <f t="shared" si="1"/>
        <v>3.3342563484436386E-2</v>
      </c>
      <c r="Z10" s="60">
        <v>499.5</v>
      </c>
      <c r="AA10" s="60">
        <v>116.5</v>
      </c>
      <c r="AB10" s="56">
        <f t="shared" si="0"/>
        <v>6.9199706314243825E-2</v>
      </c>
    </row>
    <row r="11" spans="1:28" x14ac:dyDescent="0.35">
      <c r="A11" s="3" t="str">
        <f>"20"&amp;(Revenue!$B$1-4)&amp;"-20"&amp;(Revenue!$B$1-3)</f>
        <v>2021-2022</v>
      </c>
      <c r="B11" s="54">
        <f t="shared" si="2"/>
        <v>2338</v>
      </c>
      <c r="C11" s="54">
        <f t="shared" si="3"/>
        <v>2326</v>
      </c>
      <c r="D11" s="85">
        <f t="shared" si="4"/>
        <v>630.1</v>
      </c>
      <c r="E11" s="84">
        <f t="shared" si="5"/>
        <v>-6.7780580075661326E-3</v>
      </c>
      <c r="F11" s="85">
        <f t="shared" si="6"/>
        <v>582.79999999999995</v>
      </c>
      <c r="G11" s="85">
        <f t="shared" si="7"/>
        <v>127</v>
      </c>
      <c r="H11" s="84">
        <f t="shared" si="8"/>
        <v>9.012875536480687E-2</v>
      </c>
      <c r="U11" s="3" t="s">
        <v>214</v>
      </c>
      <c r="V11" s="59">
        <v>2338</v>
      </c>
      <c r="W11" s="61">
        <v>2326</v>
      </c>
      <c r="X11" s="62">
        <v>630.1</v>
      </c>
      <c r="Y11" s="56">
        <f t="shared" si="1"/>
        <v>-6.7780580075661326E-3</v>
      </c>
      <c r="Z11" s="60">
        <v>582.79999999999995</v>
      </c>
      <c r="AA11" s="60">
        <v>127</v>
      </c>
      <c r="AB11" s="56">
        <f t="shared" si="0"/>
        <v>9.012875536480687E-2</v>
      </c>
    </row>
    <row r="12" spans="1:28" x14ac:dyDescent="0.35">
      <c r="A12" s="3" t="str">
        <f>"20"&amp;(Revenue!$B$1-3)&amp;"-20"&amp;(Revenue!$B$1-2)</f>
        <v>2022-2023</v>
      </c>
      <c r="B12" s="54">
        <f t="shared" si="2"/>
        <v>2442</v>
      </c>
      <c r="C12" s="54">
        <f t="shared" si="3"/>
        <v>2283</v>
      </c>
      <c r="D12" s="85">
        <f t="shared" si="4"/>
        <v>656.4</v>
      </c>
      <c r="E12" s="84">
        <f t="shared" si="5"/>
        <v>4.1739406443421605E-2</v>
      </c>
      <c r="F12" s="85">
        <f t="shared" si="6"/>
        <v>624.79999999999995</v>
      </c>
      <c r="G12" s="85">
        <f t="shared" si="7"/>
        <v>140.69999999999999</v>
      </c>
      <c r="H12" s="84">
        <f t="shared" si="8"/>
        <v>0.1078740157480314</v>
      </c>
      <c r="U12" s="3" t="s">
        <v>252</v>
      </c>
      <c r="V12" s="59">
        <v>2442</v>
      </c>
      <c r="W12" s="61">
        <v>2283</v>
      </c>
      <c r="X12" s="62">
        <v>656.4</v>
      </c>
      <c r="Y12" s="56">
        <f t="shared" si="1"/>
        <v>4.1739406443421605E-2</v>
      </c>
      <c r="Z12" s="60">
        <v>624.79999999999995</v>
      </c>
      <c r="AA12" s="60">
        <v>140.69999999999999</v>
      </c>
      <c r="AB12" s="56">
        <f t="shared" si="0"/>
        <v>0.1078740157480314</v>
      </c>
    </row>
    <row r="13" spans="1:28" x14ac:dyDescent="0.35">
      <c r="A13" s="3" t="str">
        <f>"20"&amp;(Revenue!$B$1-2)&amp;"-20"&amp;(Revenue!$B$1-1)</f>
        <v>2023-2024</v>
      </c>
      <c r="B13" s="54">
        <f t="shared" si="2"/>
        <v>2456</v>
      </c>
      <c r="C13" s="54">
        <f t="shared" si="3"/>
        <v>2195</v>
      </c>
      <c r="D13" s="85">
        <f t="shared" si="4"/>
        <v>715.36300000000006</v>
      </c>
      <c r="E13" s="84">
        <f t="shared" si="5"/>
        <v>8.9827848872638755E-2</v>
      </c>
      <c r="F13" s="85">
        <f t="shared" si="6"/>
        <v>683.5</v>
      </c>
      <c r="G13" s="85">
        <f t="shared" si="7"/>
        <v>152.386</v>
      </c>
      <c r="H13" s="84">
        <f t="shared" si="8"/>
        <v>8.3056147832267294E-2</v>
      </c>
      <c r="U13" s="3" t="s">
        <v>253</v>
      </c>
      <c r="V13" s="59">
        <v>2456</v>
      </c>
      <c r="W13" s="61">
        <v>2195</v>
      </c>
      <c r="X13" s="62">
        <v>715.36300000000006</v>
      </c>
      <c r="Y13" s="56">
        <f t="shared" si="1"/>
        <v>8.9827848872638755E-2</v>
      </c>
      <c r="Z13" s="60">
        <v>683.5</v>
      </c>
      <c r="AA13" s="60">
        <v>152.386</v>
      </c>
      <c r="AB13" s="56">
        <f t="shared" si="0"/>
        <v>8.3056147832267294E-2</v>
      </c>
    </row>
    <row r="14" spans="1:28" x14ac:dyDescent="0.35">
      <c r="U14" s="3" t="s">
        <v>254</v>
      </c>
      <c r="V14" s="86"/>
      <c r="W14" s="86"/>
      <c r="X14" s="86"/>
      <c r="Y14" s="56">
        <f t="shared" si="1"/>
        <v>-1</v>
      </c>
      <c r="Z14" s="86"/>
      <c r="AA14" s="86"/>
      <c r="AB14" s="56">
        <f t="shared" si="0"/>
        <v>-1</v>
      </c>
    </row>
    <row r="15" spans="1:28" x14ac:dyDescent="0.35">
      <c r="U15" s="3" t="s">
        <v>255</v>
      </c>
      <c r="V15" s="86"/>
      <c r="W15" s="86"/>
      <c r="X15" s="86"/>
      <c r="Y15" s="56" t="e">
        <f t="shared" si="1"/>
        <v>#DIV/0!</v>
      </c>
      <c r="Z15" s="86"/>
      <c r="AA15" s="86"/>
      <c r="AB15" s="56" t="e">
        <f t="shared" si="0"/>
        <v>#DIV/0!</v>
      </c>
    </row>
    <row r="16" spans="1:28" ht="15.5" x14ac:dyDescent="0.35">
      <c r="A16" s="42" t="s">
        <v>39</v>
      </c>
      <c r="U16" s="3" t="s">
        <v>256</v>
      </c>
      <c r="V16" s="86"/>
      <c r="W16" s="86"/>
      <c r="X16" s="86"/>
      <c r="Y16" s="56" t="e">
        <f t="shared" ref="Y16:Y19" si="9">(X16-X15)/X15</f>
        <v>#DIV/0!</v>
      </c>
      <c r="Z16" s="86"/>
      <c r="AA16" s="86"/>
      <c r="AB16" s="56" t="e">
        <f t="shared" ref="AB16:AB19" si="10">(AA16-AA15)/AA15</f>
        <v>#DIV/0!</v>
      </c>
    </row>
    <row r="17" spans="21:28" x14ac:dyDescent="0.35">
      <c r="U17" s="3" t="s">
        <v>257</v>
      </c>
      <c r="V17" s="86"/>
      <c r="W17" s="86"/>
      <c r="X17" s="86"/>
      <c r="Y17" s="56" t="e">
        <f t="shared" si="9"/>
        <v>#DIV/0!</v>
      </c>
      <c r="Z17" s="86"/>
      <c r="AA17" s="86"/>
      <c r="AB17" s="56" t="e">
        <f t="shared" si="10"/>
        <v>#DIV/0!</v>
      </c>
    </row>
    <row r="18" spans="21:28" x14ac:dyDescent="0.35">
      <c r="U18" s="3" t="s">
        <v>258</v>
      </c>
      <c r="V18" s="86"/>
      <c r="W18" s="86"/>
      <c r="X18" s="86"/>
      <c r="Y18" s="56" t="e">
        <f t="shared" si="9"/>
        <v>#DIV/0!</v>
      </c>
      <c r="Z18" s="86"/>
      <c r="AA18" s="86"/>
      <c r="AB18" s="56" t="e">
        <f t="shared" si="10"/>
        <v>#DIV/0!</v>
      </c>
    </row>
    <row r="19" spans="21:28" x14ac:dyDescent="0.35">
      <c r="U19" s="3" t="s">
        <v>259</v>
      </c>
      <c r="V19" s="86"/>
      <c r="W19" s="86"/>
      <c r="X19" s="86"/>
      <c r="Y19" s="56" t="e">
        <f t="shared" si="9"/>
        <v>#DIV/0!</v>
      </c>
      <c r="Z19" s="86"/>
      <c r="AA19" s="86"/>
      <c r="AB19" s="56" t="e">
        <f t="shared" si="10"/>
        <v>#DIV/0!</v>
      </c>
    </row>
  </sheetData>
  <mergeCells count="2">
    <mergeCell ref="A6:H6"/>
    <mergeCell ref="U4:AB4"/>
  </mergeCells>
  <hyperlinks>
    <hyperlink ref="B1" r:id="rId1" xr:uid="{A41D1410-D51A-4C36-8D4C-B1BAF3DF083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8B139-F0FF-4C00-B0EB-8E2ECA3B9A9E}">
  <sheetPr>
    <tabColor rgb="FF92D050"/>
  </sheetPr>
  <dimension ref="A1:T12"/>
  <sheetViews>
    <sheetView topLeftCell="A4" workbookViewId="0">
      <selection activeCell="L7" sqref="L7"/>
    </sheetView>
  </sheetViews>
  <sheetFormatPr defaultRowHeight="14.5" x14ac:dyDescent="0.35"/>
  <sheetData>
    <row r="1" spans="1:20" x14ac:dyDescent="0.35">
      <c r="A1" t="s">
        <v>24</v>
      </c>
      <c r="B1" s="41" t="s">
        <v>51</v>
      </c>
      <c r="Q1" s="83"/>
      <c r="R1" s="83" t="s">
        <v>67</v>
      </c>
      <c r="S1" s="83" t="s">
        <v>68</v>
      </c>
      <c r="T1" s="83" t="s">
        <v>69</v>
      </c>
    </row>
    <row r="2" spans="1:20" x14ac:dyDescent="0.35">
      <c r="A2" t="s">
        <v>27</v>
      </c>
      <c r="Q2" s="83" t="s">
        <v>64</v>
      </c>
      <c r="R2" s="89">
        <v>7.0599999999999996E-2</v>
      </c>
      <c r="S2" s="89">
        <v>6.1999999999999998E-3</v>
      </c>
      <c r="T2" s="89">
        <v>7.6799999999999993E-2</v>
      </c>
    </row>
    <row r="3" spans="1:20" x14ac:dyDescent="0.35">
      <c r="Q3" s="83" t="s">
        <v>65</v>
      </c>
      <c r="R3" s="89">
        <v>7.2599999999999998E-2</v>
      </c>
      <c r="S3" s="89">
        <v>5.8999999999999999E-3</v>
      </c>
      <c r="T3" s="89">
        <v>7.85E-2</v>
      </c>
    </row>
    <row r="4" spans="1:20" x14ac:dyDescent="0.35">
      <c r="Q4" s="83" t="s">
        <v>1</v>
      </c>
      <c r="R4" s="90">
        <v>7.2599999999999998E-2</v>
      </c>
      <c r="S4" s="90">
        <v>6.3E-3</v>
      </c>
      <c r="T4" s="90">
        <v>7.8899999999999998E-2</v>
      </c>
    </row>
    <row r="5" spans="1:20" x14ac:dyDescent="0.35">
      <c r="A5" s="2"/>
      <c r="B5" s="64" t="str">
        <f>"FY"&amp;Revenue!$B$1-3</f>
        <v>FY22</v>
      </c>
      <c r="C5" s="64" t="str">
        <f>"FY"&amp;Revenue!$B$1-2</f>
        <v>FY23</v>
      </c>
      <c r="D5" s="64" t="str">
        <f>"FY"&amp;Revenue!$B$1-1</f>
        <v>FY24</v>
      </c>
      <c r="E5" s="64" t="str">
        <f>"FY"&amp;Revenue!$B$1</f>
        <v>FY25</v>
      </c>
      <c r="Q5" s="83" t="s">
        <v>66</v>
      </c>
      <c r="R5" s="90">
        <v>7.6399999999999996E-2</v>
      </c>
      <c r="S5" s="90">
        <v>5.4999999999999997E-3</v>
      </c>
      <c r="T5" s="90">
        <v>8.1900000000000001E-2</v>
      </c>
    </row>
    <row r="6" spans="1:20" x14ac:dyDescent="0.35">
      <c r="A6" s="65" t="s">
        <v>67</v>
      </c>
      <c r="B6" s="87">
        <f>VLOOKUP(B5,$Q:$T,2,FALSE)</f>
        <v>7.2599999999999998E-2</v>
      </c>
      <c r="C6" s="87">
        <f t="shared" ref="C6:E6" si="0">VLOOKUP(C5,$Q:$T,2,FALSE)</f>
        <v>7.6399999999999996E-2</v>
      </c>
      <c r="D6" s="87">
        <f t="shared" si="0"/>
        <v>7.51E-2</v>
      </c>
      <c r="E6" s="87">
        <f t="shared" si="0"/>
        <v>7.8600000000000003E-2</v>
      </c>
      <c r="Q6" s="83" t="s">
        <v>75</v>
      </c>
      <c r="R6" s="455">
        <v>7.51E-2</v>
      </c>
      <c r="S6" s="455">
        <v>7.3000000000000001E-3</v>
      </c>
      <c r="T6" s="455">
        <v>8.2400000000000001E-2</v>
      </c>
    </row>
    <row r="7" spans="1:20" x14ac:dyDescent="0.35">
      <c r="A7" s="66" t="s">
        <v>68</v>
      </c>
      <c r="B7" s="87">
        <f>VLOOKUP(B5,$Q:$T,3,FALSE)</f>
        <v>6.3E-3</v>
      </c>
      <c r="C7" s="87">
        <f t="shared" ref="C7:E7" si="1">VLOOKUP(C5,$Q:$T,3,FALSE)</f>
        <v>5.4999999999999997E-3</v>
      </c>
      <c r="D7" s="87">
        <f t="shared" si="1"/>
        <v>7.3000000000000001E-3</v>
      </c>
      <c r="E7" s="87">
        <f t="shared" si="1"/>
        <v>6.3E-3</v>
      </c>
      <c r="Q7" s="83" t="s">
        <v>76</v>
      </c>
      <c r="R7" s="455">
        <v>7.8600000000000003E-2</v>
      </c>
      <c r="S7" s="455">
        <v>6.3E-3</v>
      </c>
      <c r="T7" s="455">
        <f>R7+S7</f>
        <v>8.4900000000000003E-2</v>
      </c>
    </row>
    <row r="8" spans="1:20" x14ac:dyDescent="0.35">
      <c r="A8" s="67" t="s">
        <v>69</v>
      </c>
      <c r="B8" s="88">
        <f>VLOOKUP(B5,$Q:$T,4,FALSE)</f>
        <v>7.8899999999999998E-2</v>
      </c>
      <c r="C8" s="88">
        <f>VLOOKUP(C5,$Q:$T,4,FALSE)</f>
        <v>8.1900000000000001E-2</v>
      </c>
      <c r="D8" s="88">
        <f>VLOOKUP(D5,$Q:$T,4,FALSE)</f>
        <v>8.2400000000000001E-2</v>
      </c>
      <c r="E8" s="88">
        <f>VLOOKUP(E5,$Q:$T,4,FALSE)</f>
        <v>8.4900000000000003E-2</v>
      </c>
      <c r="Q8" s="83" t="s">
        <v>77</v>
      </c>
      <c r="R8" s="86"/>
      <c r="S8" s="86"/>
      <c r="T8" s="86"/>
    </row>
    <row r="9" spans="1:20" x14ac:dyDescent="0.35">
      <c r="Q9" s="83" t="s">
        <v>78</v>
      </c>
      <c r="R9" s="86"/>
      <c r="S9" s="86"/>
      <c r="T9" s="86"/>
    </row>
    <row r="10" spans="1:20" x14ac:dyDescent="0.35">
      <c r="Q10" s="83" t="s">
        <v>79</v>
      </c>
      <c r="R10" s="86"/>
      <c r="S10" s="86"/>
      <c r="T10" s="86"/>
    </row>
    <row r="11" spans="1:20" ht="15.5" x14ac:dyDescent="0.35">
      <c r="A11" s="42" t="s">
        <v>39</v>
      </c>
      <c r="Q11" s="83" t="s">
        <v>80</v>
      </c>
      <c r="R11" s="86"/>
      <c r="S11" s="86"/>
      <c r="T11" s="86"/>
    </row>
    <row r="12" spans="1:20" x14ac:dyDescent="0.35">
      <c r="Q12" s="83" t="s">
        <v>81</v>
      </c>
      <c r="R12" s="86"/>
      <c r="S12" s="86"/>
      <c r="T12" s="86"/>
    </row>
  </sheetData>
  <phoneticPr fontId="12" type="noConversion"/>
  <hyperlinks>
    <hyperlink ref="B1" r:id="rId1" xr:uid="{FB18D0D6-7933-48DB-9BA9-FF667C46098C}"/>
  </hyperlinks>
  <pageMargins left="0.7" right="0.7" top="0.75" bottom="0.75" header="0.3" footer="0.3"/>
  <pageSetup orientation="portrait" horizontalDpi="1200" verticalDpi="12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03ED0-625F-4A6D-9BA0-FFA480ABAA95}">
  <sheetPr>
    <tabColor rgb="FF92D050"/>
  </sheetPr>
  <dimension ref="A1:S17"/>
  <sheetViews>
    <sheetView workbookViewId="0">
      <selection activeCell="J30" sqref="J30"/>
    </sheetView>
  </sheetViews>
  <sheetFormatPr defaultRowHeight="14.5" x14ac:dyDescent="0.35"/>
  <cols>
    <col min="1" max="1" width="28.1796875" bestFit="1" customWidth="1"/>
    <col min="2" max="2" width="13.26953125" customWidth="1"/>
    <col min="3" max="3" width="12.1796875" customWidth="1"/>
    <col min="4" max="4" width="11.26953125" customWidth="1"/>
    <col min="10" max="10" width="14.453125" bestFit="1" customWidth="1"/>
    <col min="11" max="11" width="10.453125" bestFit="1" customWidth="1"/>
    <col min="14" max="14" width="9.453125" bestFit="1" customWidth="1"/>
    <col min="15" max="15" width="13.7265625" bestFit="1" customWidth="1"/>
    <col min="16" max="17" width="13.54296875" bestFit="1" customWidth="1"/>
    <col min="18" max="18" width="14.26953125" bestFit="1" customWidth="1"/>
    <col min="19" max="19" width="13.1796875" bestFit="1" customWidth="1"/>
  </cols>
  <sheetData>
    <row r="1" spans="1:19" ht="21" x14ac:dyDescent="0.35">
      <c r="A1" t="s">
        <v>24</v>
      </c>
      <c r="B1" s="116" t="s">
        <v>106</v>
      </c>
      <c r="J1" s="108" t="s">
        <v>73</v>
      </c>
      <c r="K1" s="108" t="s">
        <v>74</v>
      </c>
      <c r="N1" s="108"/>
      <c r="O1" s="108" t="s">
        <v>92</v>
      </c>
      <c r="P1" s="108" t="s">
        <v>93</v>
      </c>
      <c r="Q1" s="108" t="s">
        <v>94</v>
      </c>
      <c r="R1" s="108" t="s">
        <v>104</v>
      </c>
      <c r="S1" s="108" t="s">
        <v>105</v>
      </c>
    </row>
    <row r="2" spans="1:19" x14ac:dyDescent="0.35">
      <c r="A2" t="s">
        <v>27</v>
      </c>
      <c r="J2" s="115" t="s">
        <v>108</v>
      </c>
      <c r="K2" s="109">
        <v>2.8000000000000001E-2</v>
      </c>
      <c r="N2" s="83" t="s">
        <v>95</v>
      </c>
      <c r="O2" s="94">
        <v>49812040</v>
      </c>
      <c r="P2" s="95">
        <v>41404678</v>
      </c>
      <c r="Q2" s="92">
        <f>O2+P2</f>
        <v>91216718</v>
      </c>
      <c r="R2" s="97"/>
      <c r="S2" s="83"/>
    </row>
    <row r="3" spans="1:19" x14ac:dyDescent="0.35">
      <c r="A3" t="s">
        <v>61</v>
      </c>
      <c r="B3" t="s">
        <v>107</v>
      </c>
      <c r="J3" s="115" t="s">
        <v>109</v>
      </c>
      <c r="K3" s="109">
        <v>1.2E-2</v>
      </c>
      <c r="N3" s="83" t="s">
        <v>96</v>
      </c>
      <c r="O3" s="86">
        <v>20.75</v>
      </c>
      <c r="P3" s="86">
        <v>17.57</v>
      </c>
      <c r="Q3" s="92">
        <v>38324168</v>
      </c>
      <c r="R3" s="97">
        <f t="shared" ref="R3:R10" si="0">S3/Q2</f>
        <v>-0.57985587685801188</v>
      </c>
      <c r="S3" s="92">
        <f>Q3-Q2</f>
        <v>-52892550</v>
      </c>
    </row>
    <row r="4" spans="1:19" ht="15" thickBot="1" x14ac:dyDescent="0.4">
      <c r="J4" s="115" t="s">
        <v>110</v>
      </c>
      <c r="K4" s="109">
        <v>2.8000000000000001E-2</v>
      </c>
      <c r="N4" s="83" t="s">
        <v>97</v>
      </c>
      <c r="O4" s="96">
        <v>56460058</v>
      </c>
      <c r="P4" s="96">
        <v>42293747</v>
      </c>
      <c r="Q4" s="92">
        <f t="shared" ref="Q4:Q10" si="1">O4+P4</f>
        <v>98753805</v>
      </c>
      <c r="R4" s="97">
        <f t="shared" si="0"/>
        <v>1.5768023196224377</v>
      </c>
      <c r="S4" s="92">
        <f>Q4-Q3</f>
        <v>60429637</v>
      </c>
    </row>
    <row r="5" spans="1:19" ht="32" thickBot="1" x14ac:dyDescent="0.4">
      <c r="A5" s="106" t="s">
        <v>71</v>
      </c>
      <c r="B5" s="107" t="s">
        <v>72</v>
      </c>
      <c r="C5" s="68" t="s">
        <v>57</v>
      </c>
      <c r="D5" s="68" t="s">
        <v>70</v>
      </c>
      <c r="E5" s="100" t="s">
        <v>73</v>
      </c>
      <c r="F5" s="69" t="s">
        <v>74</v>
      </c>
      <c r="J5" s="115" t="s">
        <v>111</v>
      </c>
      <c r="K5" s="109">
        <v>3.4000000000000002E-2</v>
      </c>
      <c r="N5" s="83" t="s">
        <v>98</v>
      </c>
      <c r="O5" s="96">
        <v>55027919</v>
      </c>
      <c r="P5" s="96">
        <v>47348114</v>
      </c>
      <c r="Q5" s="92">
        <f t="shared" si="1"/>
        <v>102376033</v>
      </c>
      <c r="R5" s="97">
        <f t="shared" si="0"/>
        <v>3.6679376556680528E-2</v>
      </c>
      <c r="S5" s="92">
        <f t="shared" ref="S5:S10" si="2">Q5-Q4</f>
        <v>3622228</v>
      </c>
    </row>
    <row r="6" spans="1:19" x14ac:dyDescent="0.35">
      <c r="A6" s="70" t="str">
        <f>"20"&amp;Revenue!$B$1-3&amp;"-"&amp;Revenue!$B$1-2&amp;" fee for service"</f>
        <v>2022-23 fee for service</v>
      </c>
      <c r="B6" s="98">
        <f>ROUND(VLOOKUP(LEFT(A6,7),$N:$S,2,FALSE)/1000000,2)</f>
        <v>55.03</v>
      </c>
      <c r="C6" s="101" t="s">
        <v>34</v>
      </c>
      <c r="D6" s="71"/>
      <c r="E6" s="113" t="str">
        <f>"20"&amp;Revenue!$B$1-7</f>
        <v>2018</v>
      </c>
      <c r="F6" s="119">
        <f>VLOOKUP(E6,$J:$K,2,FALSE)</f>
        <v>2.8000000000000001E-2</v>
      </c>
      <c r="J6" s="115" t="s">
        <v>112</v>
      </c>
      <c r="K6" s="109">
        <v>2.7300000000000001E-2</v>
      </c>
      <c r="N6" s="83" t="s">
        <v>99</v>
      </c>
      <c r="O6" s="96">
        <v>63635978</v>
      </c>
      <c r="P6" s="96">
        <v>48841930</v>
      </c>
      <c r="Q6" s="92">
        <f>O6+P6</f>
        <v>112477908</v>
      </c>
      <c r="R6" s="97">
        <f t="shared" si="0"/>
        <v>9.8674218017414286E-2</v>
      </c>
      <c r="S6" s="92">
        <f t="shared" si="2"/>
        <v>10101875</v>
      </c>
    </row>
    <row r="7" spans="1:19" x14ac:dyDescent="0.35">
      <c r="A7" s="70" t="str">
        <f>"20"&amp;Revenue!B1-3&amp;"-"&amp;Revenue!B1-2&amp;" College Opportunity Fund (COF)"</f>
        <v>2022-23 College Opportunity Fund (COF)</v>
      </c>
      <c r="B7" s="98">
        <f>ROUND(VLOOKUP(LEFT(A7,7),$N:$S,3,FALSE)/1000000,2)</f>
        <v>47.35</v>
      </c>
      <c r="C7" s="101" t="s">
        <v>34</v>
      </c>
      <c r="D7" s="71"/>
      <c r="E7" s="114" t="str">
        <f>"20"&amp;Revenue!$B$1-6</f>
        <v>2019</v>
      </c>
      <c r="F7" s="119">
        <f>VLOOKUP(E7,$J:$K,2,FALSE)</f>
        <v>3.4000000000000002E-2</v>
      </c>
      <c r="J7" s="115" t="s">
        <v>113</v>
      </c>
      <c r="K7" s="109">
        <v>1.924E-2</v>
      </c>
      <c r="N7" s="83" t="s">
        <v>100</v>
      </c>
      <c r="O7" s="96">
        <v>73691063</v>
      </c>
      <c r="P7" s="96">
        <v>50186294</v>
      </c>
      <c r="Q7" s="92">
        <f>O7+P7</f>
        <v>123877357</v>
      </c>
      <c r="R7" s="97">
        <f t="shared" si="0"/>
        <v>0.10134833766645091</v>
      </c>
      <c r="S7" s="92">
        <f t="shared" si="2"/>
        <v>11399449</v>
      </c>
    </row>
    <row r="8" spans="1:19" ht="15" thickBot="1" x14ac:dyDescent="0.4">
      <c r="A8" s="72" t="str">
        <f>"20"&amp;Revenue!B1-3&amp;"-"&amp;Revenue!B1-2&amp;" Total"</f>
        <v>2022-23 Total</v>
      </c>
      <c r="B8" s="99">
        <f>ROUND(VLOOKUP(LEFT(A8,7),$N:$S,4,FALSE)/1000000,2)</f>
        <v>102.38</v>
      </c>
      <c r="C8" s="102">
        <f>VLOOKUP(LEFT(A8,7),$N:$S,5,FALSE)</f>
        <v>3.6679376556680528E-2</v>
      </c>
      <c r="D8" s="112">
        <f>ROUND(VLOOKUP(LEFT(A8,7),$N:$S,6,FALSE)/1000000,2)</f>
        <v>3.62</v>
      </c>
      <c r="E8" s="114" t="str">
        <f>"20"&amp;Revenue!$B$1-5</f>
        <v>2020</v>
      </c>
      <c r="F8" s="119">
        <f t="shared" ref="F8:F13" si="3">VLOOKUP(E8,$J:$K,2,FALSE)</f>
        <v>2.7300000000000001E-2</v>
      </c>
      <c r="J8" s="115" t="s">
        <v>114</v>
      </c>
      <c r="K8" s="110">
        <v>1.95E-2</v>
      </c>
      <c r="N8" s="83" t="s">
        <v>101</v>
      </c>
      <c r="O8" s="86"/>
      <c r="P8" s="86"/>
      <c r="Q8" s="92">
        <f t="shared" si="1"/>
        <v>0</v>
      </c>
      <c r="R8" s="97">
        <f t="shared" si="0"/>
        <v>-1</v>
      </c>
      <c r="S8" s="92">
        <f t="shared" si="2"/>
        <v>-123877357</v>
      </c>
    </row>
    <row r="9" spans="1:19" x14ac:dyDescent="0.35">
      <c r="A9" s="73" t="str">
        <f>"20"&amp;Revenue!B1-2&amp;"-"&amp;Revenue!B1-1&amp;" fee for service"</f>
        <v>2023-24 fee for service</v>
      </c>
      <c r="B9" s="98">
        <f>ROUND(VLOOKUP(LEFT(A9,7),$N:$S,2,FALSE)/1000000,2)</f>
        <v>63.64</v>
      </c>
      <c r="C9" s="103" t="s">
        <v>34</v>
      </c>
      <c r="D9" s="71"/>
      <c r="E9" s="114" t="str">
        <f>"20"&amp;Revenue!$B$1-4</f>
        <v>2021</v>
      </c>
      <c r="F9" s="119">
        <f t="shared" si="3"/>
        <v>1.924E-2</v>
      </c>
      <c r="J9" s="115" t="s">
        <v>115</v>
      </c>
      <c r="K9" s="117">
        <v>3.5400000000000001E-2</v>
      </c>
      <c r="N9" s="83" t="s">
        <v>102</v>
      </c>
      <c r="O9" s="86"/>
      <c r="P9" s="86"/>
      <c r="Q9" s="92">
        <f t="shared" si="1"/>
        <v>0</v>
      </c>
      <c r="R9" s="97" t="e">
        <f t="shared" si="0"/>
        <v>#DIV/0!</v>
      </c>
      <c r="S9" s="92">
        <f t="shared" si="2"/>
        <v>0</v>
      </c>
    </row>
    <row r="10" spans="1:19" x14ac:dyDescent="0.35">
      <c r="A10" s="74" t="str">
        <f>"20"&amp;Revenue!B1-2&amp;"-"&amp;Revenue!B1-1&amp;" College Opportunity Fund (COF)"</f>
        <v>2023-24 College Opportunity Fund (COF)</v>
      </c>
      <c r="B10" s="98">
        <f>ROUND(VLOOKUP(LEFT(A10,7),$N:$S,3,FALSE)/1000000,2)</f>
        <v>48.84</v>
      </c>
      <c r="C10" s="103" t="s">
        <v>34</v>
      </c>
      <c r="D10" s="71"/>
      <c r="E10" s="114" t="str">
        <f>"20"&amp;Revenue!$B$1-3</f>
        <v>2022</v>
      </c>
      <c r="F10" s="119">
        <f t="shared" si="3"/>
        <v>1.95E-2</v>
      </c>
      <c r="J10" s="115" t="s">
        <v>116</v>
      </c>
      <c r="K10" s="118">
        <v>8.0110000000000001E-2</v>
      </c>
      <c r="N10" s="83" t="s">
        <v>103</v>
      </c>
      <c r="O10" s="86"/>
      <c r="P10" s="86"/>
      <c r="Q10" s="92">
        <f t="shared" si="1"/>
        <v>0</v>
      </c>
      <c r="R10" s="97" t="e">
        <f t="shared" si="0"/>
        <v>#DIV/0!</v>
      </c>
      <c r="S10" s="92">
        <f t="shared" si="2"/>
        <v>0</v>
      </c>
    </row>
    <row r="11" spans="1:19" ht="15" thickBot="1" x14ac:dyDescent="0.4">
      <c r="A11" s="75" t="str">
        <f>"20"&amp;Revenue!B1-2&amp;"-"&amp;Revenue!B1-1&amp;" Total"</f>
        <v>2023-24 Total</v>
      </c>
      <c r="B11" s="99">
        <f>ROUND(VLOOKUP(LEFT(A11,7),$N:$S,4,FALSE)/1000000,2)</f>
        <v>112.48</v>
      </c>
      <c r="C11" s="102">
        <f>VLOOKUP(LEFT(A11,7),$N:$S,5,FALSE)</f>
        <v>9.8674218017414286E-2</v>
      </c>
      <c r="D11" s="112">
        <f>ROUND(VLOOKUP(LEFT(A11,7),$N:$S,6,FALSE)/1000000,2)</f>
        <v>10.1</v>
      </c>
      <c r="E11" s="114" t="str">
        <f>"20"&amp;Revenue!$B$1-2</f>
        <v>2023</v>
      </c>
      <c r="F11" s="119">
        <f t="shared" si="3"/>
        <v>3.5400000000000001E-2</v>
      </c>
      <c r="J11" s="115" t="s">
        <v>117</v>
      </c>
      <c r="K11" s="111">
        <v>5.2150000000000002E-2</v>
      </c>
    </row>
    <row r="12" spans="1:19" ht="15" thickBot="1" x14ac:dyDescent="0.4">
      <c r="A12" s="74" t="str">
        <f>"20"&amp;Revenue!B1-1&amp;"-"&amp;Revenue!B1&amp;" fee for service"</f>
        <v>2024-25 fee for service</v>
      </c>
      <c r="B12" s="98">
        <f>ROUND(VLOOKUP(LEFT(A12,7),$N:$S,2,FALSE)/1000000,2)</f>
        <v>73.69</v>
      </c>
      <c r="C12" s="103" t="s">
        <v>34</v>
      </c>
      <c r="D12" s="71"/>
      <c r="E12" s="114" t="str">
        <f>"20"&amp;Revenue!$B$1-1</f>
        <v>2024</v>
      </c>
      <c r="F12" s="119">
        <f t="shared" si="3"/>
        <v>8.0110000000000001E-2</v>
      </c>
      <c r="J12" s="115" t="s">
        <v>118</v>
      </c>
      <c r="K12" s="111"/>
    </row>
    <row r="13" spans="1:19" x14ac:dyDescent="0.35">
      <c r="A13" s="74" t="str">
        <f>"20"&amp;Revenue!B1-1&amp;"-"&amp;Revenue!B1&amp;" College Opportunity Fund (COF)"</f>
        <v>2024-25 College Opportunity Fund (COF)</v>
      </c>
      <c r="B13" s="98">
        <f>ROUND(VLOOKUP(LEFT(A13,7),$N:$S,3,FALSE)/1000000,2)</f>
        <v>50.19</v>
      </c>
      <c r="C13" s="103" t="s">
        <v>34</v>
      </c>
      <c r="D13" s="105"/>
      <c r="E13" s="463" t="str">
        <f>"20"&amp;Revenue!$B$1</f>
        <v>2025</v>
      </c>
      <c r="F13" s="465">
        <f t="shared" si="3"/>
        <v>5.2150000000000002E-2</v>
      </c>
      <c r="J13" s="115" t="s">
        <v>119</v>
      </c>
      <c r="K13" s="111"/>
    </row>
    <row r="14" spans="1:19" ht="15" thickBot="1" x14ac:dyDescent="0.4">
      <c r="A14" s="75" t="str">
        <f>"20"&amp;Revenue!B1-1&amp;"-"&amp;Revenue!B1&amp;" Total"</f>
        <v>2024-25 Total</v>
      </c>
      <c r="B14" s="99">
        <f>ROUND(VLOOKUP(LEFT(A14,7),$N:$S,4,FALSE)/1000000,2)</f>
        <v>123.88</v>
      </c>
      <c r="C14" s="102">
        <f>VLOOKUP(LEFT(A14,7),$N:$S,5,FALSE)</f>
        <v>0.10134833766645091</v>
      </c>
      <c r="D14" s="104">
        <f>ROUND(VLOOKUP(LEFT(A14,7),$N:$S,6,FALSE)/1000000,2)</f>
        <v>11.4</v>
      </c>
      <c r="E14" s="464"/>
      <c r="F14" s="466"/>
      <c r="J14" s="115" t="s">
        <v>120</v>
      </c>
      <c r="K14" s="111"/>
    </row>
    <row r="17" spans="1:1" x14ac:dyDescent="0.35">
      <c r="A17" t="s">
        <v>39</v>
      </c>
    </row>
  </sheetData>
  <mergeCells count="2">
    <mergeCell ref="E13:E14"/>
    <mergeCell ref="F13:F14"/>
  </mergeCells>
  <hyperlinks>
    <hyperlink ref="B1" r:id="rId1" xr:uid="{5B2B4677-CC6A-4D42-8AF1-BED3545F6611}"/>
  </hyperlinks>
  <pageMargins left="0.7" right="0.7" top="0.75" bottom="0.75" header="0.3" footer="0.3"/>
  <pageSetup orientation="portrait" horizontalDpi="1200" verticalDpi="120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5A4AC-31C1-41FF-ACDF-FE32BCC8695C}">
  <sheetPr>
    <tabColor rgb="FF92D050"/>
  </sheetPr>
  <dimension ref="A1:W18"/>
  <sheetViews>
    <sheetView workbookViewId="0">
      <selection activeCell="Q11" sqref="Q11"/>
    </sheetView>
  </sheetViews>
  <sheetFormatPr defaultRowHeight="14.5" x14ac:dyDescent="0.35"/>
  <cols>
    <col min="1" max="1" width="15.54296875" bestFit="1" customWidth="1"/>
    <col min="2" max="2" width="11.1796875" customWidth="1"/>
    <col min="5" max="5" width="11.26953125" bestFit="1" customWidth="1"/>
    <col min="13" max="13" width="15.54296875" bestFit="1" customWidth="1"/>
  </cols>
  <sheetData>
    <row r="1" spans="1:23" x14ac:dyDescent="0.35">
      <c r="A1" t="s">
        <v>24</v>
      </c>
      <c r="M1" s="83"/>
      <c r="N1" s="124" t="s">
        <v>122</v>
      </c>
      <c r="O1" s="124" t="s">
        <v>123</v>
      </c>
      <c r="P1" s="124" t="s">
        <v>142</v>
      </c>
      <c r="Q1" s="124" t="s">
        <v>134</v>
      </c>
      <c r="R1" s="124" t="s">
        <v>135</v>
      </c>
      <c r="S1" s="124" t="s">
        <v>136</v>
      </c>
      <c r="T1" s="124" t="s">
        <v>137</v>
      </c>
      <c r="U1" s="124" t="s">
        <v>138</v>
      </c>
      <c r="V1" s="124" t="s">
        <v>139</v>
      </c>
      <c r="W1" s="124" t="s">
        <v>140</v>
      </c>
    </row>
    <row r="2" spans="1:23" x14ac:dyDescent="0.35">
      <c r="A2" t="s">
        <v>27</v>
      </c>
      <c r="M2" s="26" t="s">
        <v>126</v>
      </c>
      <c r="N2" s="125">
        <v>35897</v>
      </c>
      <c r="O2" s="126">
        <v>36122</v>
      </c>
      <c r="P2" s="126">
        <v>37153</v>
      </c>
      <c r="Q2" s="126">
        <v>38428</v>
      </c>
      <c r="R2" s="126"/>
      <c r="S2" s="126"/>
      <c r="T2" s="126"/>
      <c r="U2" s="126"/>
      <c r="V2" s="126"/>
      <c r="W2" s="126"/>
    </row>
    <row r="3" spans="1:23" ht="35.15" customHeight="1" x14ac:dyDescent="0.35">
      <c r="A3" t="s">
        <v>61</v>
      </c>
      <c r="B3" s="468" t="s">
        <v>143</v>
      </c>
      <c r="C3" s="468"/>
      <c r="D3" s="468"/>
      <c r="E3" s="468"/>
      <c r="F3" s="468"/>
      <c r="G3" s="468"/>
      <c r="H3" s="468"/>
      <c r="I3" s="468"/>
      <c r="J3" s="468"/>
      <c r="K3" s="468"/>
      <c r="M3" s="26" t="s">
        <v>127</v>
      </c>
      <c r="N3" s="125">
        <v>29511</v>
      </c>
      <c r="O3" s="126">
        <v>29583</v>
      </c>
      <c r="P3" s="126">
        <v>30707</v>
      </c>
      <c r="Q3" s="126">
        <v>31939</v>
      </c>
      <c r="R3" s="126"/>
      <c r="S3" s="126"/>
      <c r="T3" s="126"/>
      <c r="U3" s="126"/>
      <c r="V3" s="126"/>
      <c r="W3" s="126"/>
    </row>
    <row r="4" spans="1:23" x14ac:dyDescent="0.35">
      <c r="M4" s="26" t="s">
        <v>128</v>
      </c>
      <c r="N4" s="125">
        <v>6386</v>
      </c>
      <c r="O4" s="126">
        <v>6539</v>
      </c>
      <c r="P4" s="126">
        <v>6446</v>
      </c>
      <c r="Q4" s="126">
        <v>6489</v>
      </c>
      <c r="R4" s="126"/>
      <c r="S4" s="126"/>
      <c r="T4" s="126"/>
      <c r="U4" s="126"/>
      <c r="V4" s="126"/>
      <c r="W4" s="126"/>
    </row>
    <row r="5" spans="1:23" x14ac:dyDescent="0.35">
      <c r="M5" s="26" t="s">
        <v>129</v>
      </c>
      <c r="N5" s="127">
        <v>16153</v>
      </c>
      <c r="O5" s="127">
        <v>16451</v>
      </c>
      <c r="P5" s="126">
        <v>17166</v>
      </c>
      <c r="Q5" s="126">
        <v>17988</v>
      </c>
      <c r="R5" s="126"/>
      <c r="S5" s="126"/>
      <c r="T5" s="126"/>
      <c r="U5" s="126"/>
      <c r="V5" s="126"/>
      <c r="W5" s="126"/>
    </row>
    <row r="6" spans="1:23" x14ac:dyDescent="0.35">
      <c r="A6" s="467" t="s">
        <v>121</v>
      </c>
      <c r="B6" s="461"/>
      <c r="C6" s="461"/>
      <c r="D6" s="461"/>
      <c r="E6" s="462"/>
      <c r="M6" s="26" t="s">
        <v>130</v>
      </c>
      <c r="N6" s="127">
        <v>19744</v>
      </c>
      <c r="O6" s="127">
        <v>19671</v>
      </c>
      <c r="P6" s="126">
        <v>19987</v>
      </c>
      <c r="Q6" s="126">
        <v>20440</v>
      </c>
      <c r="R6" s="126"/>
      <c r="S6" s="126"/>
      <c r="T6" s="126"/>
      <c r="U6" s="126"/>
      <c r="V6" s="126"/>
      <c r="W6" s="126"/>
    </row>
    <row r="7" spans="1:23" x14ac:dyDescent="0.35">
      <c r="A7" s="120"/>
      <c r="B7" s="121" t="str">
        <f>"Fall 20"&amp;Revenue!B1-2</f>
        <v>Fall 2023</v>
      </c>
      <c r="C7" s="121" t="str">
        <f>"Fall 20"&amp;Revenue!B1-1</f>
        <v>Fall 2024</v>
      </c>
      <c r="D7" s="121" t="s">
        <v>124</v>
      </c>
      <c r="E7" s="121" t="s">
        <v>125</v>
      </c>
      <c r="M7" s="26" t="s">
        <v>131</v>
      </c>
      <c r="N7" s="127">
        <v>20409</v>
      </c>
      <c r="O7" s="127">
        <v>20351</v>
      </c>
      <c r="P7" s="126">
        <v>21188</v>
      </c>
      <c r="Q7" s="126">
        <v>22008</v>
      </c>
      <c r="R7" s="126"/>
      <c r="S7" s="126"/>
      <c r="T7" s="126"/>
      <c r="U7" s="126"/>
      <c r="V7" s="126"/>
      <c r="W7" s="126"/>
    </row>
    <row r="8" spans="1:23" x14ac:dyDescent="0.35">
      <c r="A8" s="26" t="s">
        <v>126</v>
      </c>
      <c r="B8" s="93">
        <f>HLOOKUP($B$7,$M:$W,2,FALSE)</f>
        <v>37153</v>
      </c>
      <c r="C8" s="93">
        <f>HLOOKUP($C$7,$M:$W,2,FALSE)</f>
        <v>38428</v>
      </c>
      <c r="D8" s="122">
        <f>C8-B8</f>
        <v>1275</v>
      </c>
      <c r="E8" s="123">
        <f>(D8/B8)</f>
        <v>3.4317551745484884E-2</v>
      </c>
      <c r="M8" s="26" t="s">
        <v>141</v>
      </c>
      <c r="N8" s="127">
        <v>15488</v>
      </c>
      <c r="O8" s="127">
        <v>15771</v>
      </c>
      <c r="P8" s="126">
        <v>15965</v>
      </c>
      <c r="Q8" s="126">
        <v>16420</v>
      </c>
      <c r="R8" s="126"/>
      <c r="S8" s="126"/>
      <c r="T8" s="126"/>
      <c r="U8" s="126"/>
      <c r="V8" s="126"/>
      <c r="W8" s="126"/>
    </row>
    <row r="9" spans="1:23" x14ac:dyDescent="0.35">
      <c r="A9" s="26" t="s">
        <v>127</v>
      </c>
      <c r="B9" s="93">
        <f>HLOOKUP($B$7,$M:$W,3,FALSE)</f>
        <v>30707</v>
      </c>
      <c r="C9" s="93">
        <f>HLOOKUP($C$7,$M:$W,3,FALSE)</f>
        <v>31939</v>
      </c>
      <c r="D9" s="122">
        <f t="shared" ref="D9:D10" si="0">C9-B9</f>
        <v>1232</v>
      </c>
      <c r="E9" s="123">
        <f t="shared" ref="E9:E10" si="1">(D9/B9)</f>
        <v>4.0121145015794446E-2</v>
      </c>
      <c r="M9" s="26" t="s">
        <v>132</v>
      </c>
      <c r="N9" s="127">
        <v>9430</v>
      </c>
      <c r="O9" s="127">
        <v>9483</v>
      </c>
      <c r="P9" s="126">
        <v>10011</v>
      </c>
      <c r="Q9" s="126">
        <v>10656</v>
      </c>
      <c r="R9" s="126"/>
      <c r="S9" s="126"/>
      <c r="T9" s="126"/>
      <c r="U9" s="126"/>
      <c r="V9" s="126"/>
      <c r="W9" s="126"/>
    </row>
    <row r="10" spans="1:23" x14ac:dyDescent="0.35">
      <c r="A10" s="26" t="s">
        <v>128</v>
      </c>
      <c r="B10" s="93">
        <f>HLOOKUP($B$7,$M:$W,4,FALSE)</f>
        <v>6446</v>
      </c>
      <c r="C10" s="93">
        <f>HLOOKUP($C$7,$M:$W,4,FALSE)</f>
        <v>6489</v>
      </c>
      <c r="D10" s="122">
        <f t="shared" si="0"/>
        <v>43</v>
      </c>
      <c r="E10" s="123">
        <f t="shared" si="1"/>
        <v>6.6708035991312441E-3</v>
      </c>
      <c r="M10" s="26" t="s">
        <v>133</v>
      </c>
      <c r="N10" s="127">
        <v>2339</v>
      </c>
      <c r="O10" s="127">
        <v>2596</v>
      </c>
      <c r="P10" s="126">
        <v>2514</v>
      </c>
      <c r="Q10" s="126">
        <v>2480</v>
      </c>
      <c r="R10" s="126"/>
      <c r="S10" s="126"/>
      <c r="T10" s="126"/>
      <c r="U10" s="126"/>
      <c r="V10" s="126"/>
      <c r="W10" s="126"/>
    </row>
    <row r="11" spans="1:23" x14ac:dyDescent="0.35">
      <c r="A11" s="26" t="s">
        <v>129</v>
      </c>
      <c r="B11" s="97">
        <f>(HLOOKUP($B$7,$M:$W,5,FALSE))/(HLOOKUP($B$7,$M:$W,5,FALSE)+HLOOKUP($B$7,$M:$W,6,FALSE))</f>
        <v>0.46203536726509298</v>
      </c>
      <c r="C11" s="97">
        <f>(HLOOKUP($C$7,$M:$W,5,FALSE))/(HLOOKUP($C$7,$M:$W,5,FALSE)+HLOOKUP($C$7,$M:$W,6,FALSE))</f>
        <v>0.46809617986884561</v>
      </c>
      <c r="D11" s="122">
        <f>(HLOOKUP($C$7,$M:$W,5,FALSE)-(HLOOKUP($B$7,$M:$W,5,FALSE)))</f>
        <v>822</v>
      </c>
      <c r="E11" s="123">
        <f>D11/(HLOOKUP($C$7,$M:$W,5,FALSE))</f>
        <v>4.56971314209473E-2</v>
      </c>
    </row>
    <row r="12" spans="1:23" x14ac:dyDescent="0.35">
      <c r="A12" s="26" t="s">
        <v>130</v>
      </c>
      <c r="B12" s="97">
        <f>(HLOOKUP($B$7,$M:$W,6,FALSE))/(HLOOKUP($B$7,$M:$W,5,FALSE)+HLOOKUP($B$7,$M:$W,6,FALSE))</f>
        <v>0.53796463273490702</v>
      </c>
      <c r="C12" s="97">
        <f>(HLOOKUP($C$7,$M:$W,6,FALSE))/(HLOOKUP($C$7,$M:$W,5,FALSE)+HLOOKUP($C$7,$M:$W,6,FALSE))</f>
        <v>0.53190382013115434</v>
      </c>
      <c r="D12" s="122">
        <f>(HLOOKUP($C$7,$M:$W,6,FALSE)-(HLOOKUP($B$7,$M:$W,6,FALSE)))</f>
        <v>453</v>
      </c>
      <c r="E12" s="123">
        <f>D12/(HLOOKUP($C$7,$M:$W,6,FALSE))</f>
        <v>2.2162426614481409E-2</v>
      </c>
    </row>
    <row r="13" spans="1:23" x14ac:dyDescent="0.35">
      <c r="A13" s="26" t="s">
        <v>131</v>
      </c>
      <c r="B13" s="97">
        <f>HLOOKUP($B$7,$M:$W,7,FALSE)/(HLOOKUP($B$7,$M:$W,7,FALSE)+HLOOKUP($B$7,$M:$W,8,FALSE))</f>
        <v>0.57029042069281077</v>
      </c>
      <c r="C13" s="97">
        <f>HLOOKUP($C$7,$M:$W,7,FALSE)/(HLOOKUP($C$7,$M:$W,7,FALSE)+HLOOKUP($C$7,$M:$W,8,FALSE))</f>
        <v>0.57270740085354432</v>
      </c>
      <c r="D13" s="122">
        <f>(HLOOKUP($C$7,$M:$W,7,FALSE)-(HLOOKUP($B$7,$M:$W,7,FALSE)))</f>
        <v>820</v>
      </c>
      <c r="E13" s="123">
        <f>D13/(HLOOKUP($C$7,$M:$W,7,FALSE))</f>
        <v>3.7259178480552525E-2</v>
      </c>
    </row>
    <row r="14" spans="1:23" x14ac:dyDescent="0.35">
      <c r="A14" s="26" t="s">
        <v>141</v>
      </c>
      <c r="B14" s="97">
        <f>HLOOKUP($B$7,$M:$W,8,FALSE)/(HLOOKUP($B$7,$M:$W,7,FALSE)+HLOOKUP($B$7,$M:$W,8,FALSE))</f>
        <v>0.42970957930718917</v>
      </c>
      <c r="C14" s="97">
        <f>HLOOKUP($C$7,$M:$W,8,FALSE)/(HLOOKUP($C$7,$M:$W,7,FALSE)+HLOOKUP($C$7,$M:$W,8,FALSE))</f>
        <v>0.42729259914645573</v>
      </c>
      <c r="D14" s="122">
        <f>(HLOOKUP($C$7,$M:$W,8,FALSE)-(HLOOKUP($B$7,$M:$W,8,FALSE)))</f>
        <v>455</v>
      </c>
      <c r="E14" s="123">
        <f>D14/(HLOOKUP($C$7,$M:$W,8,FALSE))</f>
        <v>2.7710109622411692E-2</v>
      </c>
    </row>
    <row r="15" spans="1:23" x14ac:dyDescent="0.35">
      <c r="A15" s="26" t="s">
        <v>132</v>
      </c>
      <c r="B15" s="97">
        <f>HLOOKUP($B$7,$M:$W,9,FALSE)/(HLOOKUP($B$7,$M:$W,7,FALSE)+HLOOKUP($B$7,$M:$W,8,FALSE))</f>
        <v>0.26945334158748957</v>
      </c>
      <c r="C15" s="97">
        <f>HLOOKUP($C$7,$M:$W,9,FALSE)/(HLOOKUP($C$7,$M:$W,7,FALSE)+HLOOKUP($C$7,$M:$W,8,FALSE))</f>
        <v>0.27729780368481316</v>
      </c>
      <c r="D15" s="122">
        <f>(HLOOKUP($C$7,$M:$W,9,FALSE)-(HLOOKUP($B$7,$M:$W,9,FALSE)))</f>
        <v>645</v>
      </c>
      <c r="E15" s="123">
        <f>D15/(HLOOKUP($C$7,$M:$W,9,FALSE))</f>
        <v>6.0529279279279279E-2</v>
      </c>
    </row>
    <row r="16" spans="1:23" x14ac:dyDescent="0.35">
      <c r="A16" s="26" t="s">
        <v>133</v>
      </c>
      <c r="B16" s="97">
        <f>HLOOKUP($B$7,$M:$W,10,FALSE)/(HLOOKUP($B$7,$M:$W,7,FALSE)+HLOOKUP($B$7,$M:$W,8,FALSE))</f>
        <v>6.7666137324038436E-2</v>
      </c>
      <c r="C16" s="97">
        <f>HLOOKUP($C$7,$M:$W,10,FALSE)/(HLOOKUP($C$7,$M:$W,7,FALSE)+HLOOKUP($C$7,$M:$W,8,FALSE))</f>
        <v>6.4536275632351411E-2</v>
      </c>
      <c r="D16" s="122">
        <f>(HLOOKUP($C$7,$M:$W,10,FALSE)-(HLOOKUP($B$7,$M:$W,10,FALSE)))</f>
        <v>-34</v>
      </c>
      <c r="E16" s="123">
        <f>D16/(HLOOKUP($C$7,$M:$W,10,FALSE))</f>
        <v>-1.3709677419354839E-2</v>
      </c>
    </row>
    <row r="18" spans="1:1" x14ac:dyDescent="0.35">
      <c r="A18" s="21" t="s">
        <v>39</v>
      </c>
    </row>
  </sheetData>
  <mergeCells count="2">
    <mergeCell ref="A6:E6"/>
    <mergeCell ref="B3:K3"/>
  </mergeCells>
  <phoneticPr fontId="1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75EB6-0C39-4219-B0F0-BA4A45562E6B}">
  <sheetPr>
    <tabColor rgb="FF92D050"/>
  </sheetPr>
  <dimension ref="A1:K18"/>
  <sheetViews>
    <sheetView topLeftCell="A7" workbookViewId="0">
      <selection activeCell="M38" sqref="L38:M38"/>
    </sheetView>
  </sheetViews>
  <sheetFormatPr defaultRowHeight="14.5" x14ac:dyDescent="0.35"/>
  <cols>
    <col min="1" max="1" width="18.26953125" bestFit="1" customWidth="1"/>
    <col min="2" max="2" width="14.1796875" customWidth="1"/>
    <col min="3" max="3" width="18.26953125" bestFit="1" customWidth="1"/>
    <col min="4" max="4" width="13.26953125" customWidth="1"/>
  </cols>
  <sheetData>
    <row r="1" spans="1:11" x14ac:dyDescent="0.35">
      <c r="A1" t="s">
        <v>24</v>
      </c>
    </row>
    <row r="2" spans="1:11" x14ac:dyDescent="0.35">
      <c r="A2" t="s">
        <v>27</v>
      </c>
    </row>
    <row r="3" spans="1:11" ht="14.5" customHeight="1" x14ac:dyDescent="0.35">
      <c r="A3" t="s">
        <v>61</v>
      </c>
      <c r="B3" t="s">
        <v>143</v>
      </c>
      <c r="C3" s="77"/>
      <c r="D3" s="77"/>
      <c r="E3" s="77"/>
      <c r="F3" s="77"/>
      <c r="G3" s="77"/>
      <c r="H3" s="77"/>
      <c r="I3" s="77"/>
      <c r="J3" s="77"/>
      <c r="K3" s="77"/>
    </row>
    <row r="6" spans="1:11" x14ac:dyDescent="0.35">
      <c r="A6" s="14" t="str">
        <f>"Employees as of November 1, 20"&amp;Revenue!B1-2&amp;" (headcount)"</f>
        <v>Employees as of November 1, 2023 (headcount)</v>
      </c>
      <c r="B6" s="49"/>
      <c r="C6" s="49"/>
      <c r="D6" s="50"/>
    </row>
    <row r="7" spans="1:11" x14ac:dyDescent="0.35">
      <c r="A7" s="48" t="s">
        <v>144</v>
      </c>
      <c r="B7" s="3" t="s">
        <v>94</v>
      </c>
      <c r="C7" s="63" t="s">
        <v>145</v>
      </c>
      <c r="D7" s="3" t="s">
        <v>94</v>
      </c>
    </row>
    <row r="8" spans="1:11" x14ac:dyDescent="0.35">
      <c r="A8" s="128" t="s">
        <v>146</v>
      </c>
      <c r="B8" s="134">
        <v>1235</v>
      </c>
      <c r="C8" s="21" t="s">
        <v>147</v>
      </c>
      <c r="D8" s="138">
        <v>247</v>
      </c>
    </row>
    <row r="9" spans="1:11" x14ac:dyDescent="0.35">
      <c r="A9" s="129" t="s">
        <v>148</v>
      </c>
      <c r="B9" s="135">
        <v>570</v>
      </c>
      <c r="C9" s="137" t="s">
        <v>149</v>
      </c>
      <c r="D9" s="135">
        <v>1139</v>
      </c>
    </row>
    <row r="10" spans="1:11" x14ac:dyDescent="0.35">
      <c r="A10" s="8" t="s">
        <v>150</v>
      </c>
      <c r="B10" s="136">
        <v>1128</v>
      </c>
      <c r="C10" s="17" t="s">
        <v>151</v>
      </c>
      <c r="D10" s="135">
        <v>1511</v>
      </c>
    </row>
    <row r="11" spans="1:11" x14ac:dyDescent="0.35">
      <c r="A11" s="8" t="s">
        <v>152</v>
      </c>
      <c r="B11" s="130">
        <f>SUM(B8:B10)</f>
        <v>2933</v>
      </c>
      <c r="C11" s="17" t="s">
        <v>153</v>
      </c>
      <c r="D11" s="135">
        <v>110</v>
      </c>
    </row>
    <row r="12" spans="1:11" x14ac:dyDescent="0.35">
      <c r="A12" s="132" t="s">
        <v>154</v>
      </c>
      <c r="B12" s="135">
        <v>2434</v>
      </c>
      <c r="C12" s="21" t="s">
        <v>155</v>
      </c>
      <c r="D12" s="139">
        <v>2</v>
      </c>
    </row>
    <row r="13" spans="1:11" x14ac:dyDescent="0.35">
      <c r="A13" s="129" t="s">
        <v>156</v>
      </c>
      <c r="B13" s="135">
        <v>4304</v>
      </c>
      <c r="C13" s="8" t="s">
        <v>152</v>
      </c>
      <c r="D13" s="130">
        <f>SUM(D8:D12)</f>
        <v>3009</v>
      </c>
    </row>
    <row r="14" spans="1:11" x14ac:dyDescent="0.35">
      <c r="A14" s="8" t="s">
        <v>32</v>
      </c>
      <c r="B14" s="136">
        <v>819</v>
      </c>
      <c r="C14" s="137" t="s">
        <v>157</v>
      </c>
      <c r="D14" s="136">
        <v>5884</v>
      </c>
    </row>
    <row r="15" spans="1:11" x14ac:dyDescent="0.35">
      <c r="A15" s="133" t="s">
        <v>158</v>
      </c>
      <c r="B15" s="131">
        <f>SUM(B11:B14)</f>
        <v>10490</v>
      </c>
      <c r="C15" s="133" t="s">
        <v>159</v>
      </c>
      <c r="D15" s="131">
        <f>SUM(D13:D14)</f>
        <v>8893</v>
      </c>
    </row>
    <row r="18" spans="1:1" x14ac:dyDescent="0.35">
      <c r="A18" t="s">
        <v>39</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03B5-E6F9-4DEF-BC02-6EBEDA45E96D}">
  <sheetPr>
    <tabColor rgb="FF92D050"/>
  </sheetPr>
  <dimension ref="A1:W37"/>
  <sheetViews>
    <sheetView topLeftCell="A4" workbookViewId="0">
      <selection activeCell="A24" sqref="A24"/>
    </sheetView>
  </sheetViews>
  <sheetFormatPr defaultRowHeight="14.5" x14ac:dyDescent="0.35"/>
  <cols>
    <col min="1" max="1" width="41.26953125" customWidth="1"/>
    <col min="2" max="3" width="6.54296875" bestFit="1" customWidth="1"/>
    <col min="4" max="4" width="6.81640625" bestFit="1" customWidth="1"/>
    <col min="5" max="6" width="6.54296875" bestFit="1" customWidth="1"/>
    <col min="7" max="7" width="6.81640625" bestFit="1" customWidth="1"/>
    <col min="12" max="12" width="17.7265625" bestFit="1" customWidth="1"/>
    <col min="13" max="13" width="17.453125" bestFit="1" customWidth="1"/>
    <col min="14" max="14" width="11.54296875" bestFit="1" customWidth="1"/>
    <col min="15" max="15" width="12" bestFit="1" customWidth="1"/>
    <col min="16" max="16" width="10.54296875" bestFit="1" customWidth="1"/>
    <col min="19" max="19" width="10.54296875" bestFit="1" customWidth="1"/>
    <col min="20" max="20" width="12.453125" bestFit="1" customWidth="1"/>
    <col min="21" max="23" width="10.54296875" bestFit="1" customWidth="1"/>
  </cols>
  <sheetData>
    <row r="1" spans="1:23" x14ac:dyDescent="0.35">
      <c r="A1" t="s">
        <v>24</v>
      </c>
      <c r="B1" s="41" t="s">
        <v>275</v>
      </c>
      <c r="L1" s="475" t="s">
        <v>288</v>
      </c>
      <c r="M1" s="475"/>
      <c r="N1" s="475"/>
      <c r="O1" s="475"/>
      <c r="P1" s="475"/>
      <c r="S1" s="475" t="s">
        <v>287</v>
      </c>
      <c r="T1" s="475"/>
      <c r="U1" s="475"/>
      <c r="V1" s="475"/>
      <c r="W1" s="475"/>
    </row>
    <row r="2" spans="1:23" x14ac:dyDescent="0.35">
      <c r="A2" t="s">
        <v>27</v>
      </c>
      <c r="L2" t="s">
        <v>181</v>
      </c>
      <c r="M2" t="s">
        <v>277</v>
      </c>
      <c r="N2" t="s">
        <v>182</v>
      </c>
      <c r="O2" t="s">
        <v>278</v>
      </c>
      <c r="P2" t="s">
        <v>279</v>
      </c>
      <c r="S2" t="s">
        <v>181</v>
      </c>
      <c r="T2" t="s">
        <v>277</v>
      </c>
      <c r="U2" t="s">
        <v>182</v>
      </c>
      <c r="V2" t="s">
        <v>278</v>
      </c>
      <c r="W2" t="s">
        <v>279</v>
      </c>
    </row>
    <row r="3" spans="1:23" x14ac:dyDescent="0.35">
      <c r="A3" t="s">
        <v>61</v>
      </c>
      <c r="B3" t="s">
        <v>276</v>
      </c>
      <c r="K3" t="s">
        <v>265</v>
      </c>
      <c r="L3" s="431">
        <v>16032</v>
      </c>
      <c r="M3" s="431">
        <v>14184</v>
      </c>
      <c r="N3" s="431">
        <v>12456</v>
      </c>
      <c r="O3" s="431">
        <v>11088</v>
      </c>
      <c r="P3" s="431">
        <v>10728</v>
      </c>
      <c r="R3" t="s">
        <v>265</v>
      </c>
      <c r="S3" s="431">
        <v>39942</v>
      </c>
      <c r="T3" s="431">
        <v>39638</v>
      </c>
      <c r="U3" s="431">
        <v>38242</v>
      </c>
      <c r="V3" s="431">
        <v>36932</v>
      </c>
      <c r="W3" s="431">
        <v>36546</v>
      </c>
    </row>
    <row r="4" spans="1:23" x14ac:dyDescent="0.35">
      <c r="K4" t="s">
        <v>266</v>
      </c>
      <c r="L4" s="431">
        <v>16992</v>
      </c>
      <c r="M4" s="431">
        <v>15072</v>
      </c>
      <c r="N4" s="431">
        <v>13296</v>
      </c>
      <c r="O4" s="431">
        <v>11520</v>
      </c>
      <c r="P4" s="431">
        <v>11520</v>
      </c>
      <c r="R4" t="s">
        <v>266</v>
      </c>
      <c r="S4" s="431">
        <v>42374</v>
      </c>
      <c r="T4" s="431">
        <v>42050</v>
      </c>
      <c r="U4" s="431">
        <v>40568</v>
      </c>
      <c r="V4" s="431">
        <v>38770</v>
      </c>
      <c r="W4" s="431">
        <v>38770</v>
      </c>
    </row>
    <row r="5" spans="1:23" x14ac:dyDescent="0.35">
      <c r="A5" s="399" t="s">
        <v>261</v>
      </c>
      <c r="B5" s="469" t="s">
        <v>262</v>
      </c>
      <c r="C5" s="470"/>
      <c r="D5" s="471"/>
      <c r="E5" s="469" t="s">
        <v>263</v>
      </c>
      <c r="F5" s="470"/>
      <c r="G5" s="471"/>
      <c r="K5" t="s">
        <v>280</v>
      </c>
      <c r="L5" s="431">
        <v>17664</v>
      </c>
      <c r="M5" s="431">
        <v>15672</v>
      </c>
      <c r="N5" s="431">
        <v>13824</v>
      </c>
      <c r="O5" s="431">
        <v>11976</v>
      </c>
      <c r="P5" s="431">
        <v>11976</v>
      </c>
      <c r="R5" t="s">
        <v>280</v>
      </c>
      <c r="S5" s="431">
        <v>44068</v>
      </c>
      <c r="T5" s="431">
        <v>43732</v>
      </c>
      <c r="U5" s="431">
        <v>42190</v>
      </c>
      <c r="V5" s="431">
        <v>40320</v>
      </c>
      <c r="W5" s="431">
        <v>40320</v>
      </c>
    </row>
    <row r="6" spans="1:23" x14ac:dyDescent="0.35">
      <c r="A6" s="400" t="s">
        <v>264</v>
      </c>
      <c r="B6" s="401" t="str">
        <f>Revenue!$B$1-2&amp;"-"&amp;Revenue!$B$1-1</f>
        <v>23-24</v>
      </c>
      <c r="C6" s="401" t="str">
        <f>Revenue!$B$1-1&amp;"-"&amp;Revenue!$B$1</f>
        <v>24-25</v>
      </c>
      <c r="D6" s="402" t="s">
        <v>267</v>
      </c>
      <c r="E6" s="401" t="str">
        <f>Revenue!$B$1-2&amp;"-"&amp;Revenue!$B$1-1</f>
        <v>23-24</v>
      </c>
      <c r="F6" s="401" t="str">
        <f>Revenue!$B$1-1&amp;"-"&amp;Revenue!$B$1</f>
        <v>24-25</v>
      </c>
      <c r="G6" s="403" t="s">
        <v>267</v>
      </c>
      <c r="K6" t="s">
        <v>281</v>
      </c>
      <c r="L6" s="431">
        <f>9096*2</f>
        <v>18192</v>
      </c>
      <c r="M6" s="431">
        <f>8064*2</f>
        <v>16128</v>
      </c>
      <c r="N6" s="431">
        <f>7116*2</f>
        <v>14232</v>
      </c>
      <c r="O6" s="431">
        <f>P6</f>
        <v>12312</v>
      </c>
      <c r="P6" s="431">
        <f>6156*2</f>
        <v>12312</v>
      </c>
      <c r="R6" t="s">
        <v>281</v>
      </c>
      <c r="S6" s="431">
        <f>22915*2</f>
        <v>45830</v>
      </c>
      <c r="T6" s="431">
        <f>22740*2</f>
        <v>45480</v>
      </c>
      <c r="U6" s="431">
        <f>21938*2</f>
        <v>43876</v>
      </c>
      <c r="V6" s="431">
        <f>W6</f>
        <v>41932</v>
      </c>
      <c r="W6" s="431">
        <f>20966*2</f>
        <v>41932</v>
      </c>
    </row>
    <row r="7" spans="1:23" x14ac:dyDescent="0.35">
      <c r="A7" s="404" t="s">
        <v>268</v>
      </c>
      <c r="B7" s="472" t="s">
        <v>269</v>
      </c>
      <c r="C7" s="473"/>
      <c r="D7" s="474"/>
      <c r="E7" s="472" t="s">
        <v>270</v>
      </c>
      <c r="F7" s="473"/>
      <c r="G7" s="474"/>
      <c r="K7" t="s">
        <v>282</v>
      </c>
      <c r="L7" s="76"/>
      <c r="M7" s="76"/>
      <c r="N7" s="76"/>
      <c r="O7" s="76"/>
      <c r="P7" s="76"/>
      <c r="R7" t="s">
        <v>282</v>
      </c>
      <c r="S7" s="76"/>
      <c r="T7" s="76"/>
      <c r="U7" s="76"/>
      <c r="V7" s="76"/>
      <c r="W7" s="76"/>
    </row>
    <row r="8" spans="1:23" x14ac:dyDescent="0.35">
      <c r="A8" s="405" t="s">
        <v>181</v>
      </c>
      <c r="B8" s="406">
        <f>VLOOKUP($B$6,$K$3:$P$11,2,FALSE)</f>
        <v>17664</v>
      </c>
      <c r="C8" s="406">
        <f>VLOOKUP($C$6,$K$3:$P$11,2,FALSE)</f>
        <v>18192</v>
      </c>
      <c r="D8" s="407">
        <f>(C8-B8)/B8</f>
        <v>2.9891304347826088E-2</v>
      </c>
      <c r="E8" s="408">
        <f>VLOOKUP($E$6,$R$3:$W$11,2,FALSE)</f>
        <v>44068</v>
      </c>
      <c r="F8" s="408">
        <f>VLOOKUP($F$6,$R$3:$W$11,2,FALSE)</f>
        <v>45830</v>
      </c>
      <c r="G8" s="409">
        <f>(F8-E8)/E8</f>
        <v>3.9983661613869473E-2</v>
      </c>
      <c r="K8" t="s">
        <v>283</v>
      </c>
      <c r="L8" s="76"/>
      <c r="M8" s="76"/>
      <c r="N8" s="76"/>
      <c r="O8" s="76"/>
      <c r="P8" s="76"/>
      <c r="R8" t="s">
        <v>283</v>
      </c>
      <c r="S8" s="76"/>
      <c r="T8" s="76"/>
      <c r="U8" s="76"/>
      <c r="V8" s="76"/>
      <c r="W8" s="76"/>
    </row>
    <row r="9" spans="1:23" x14ac:dyDescent="0.35">
      <c r="A9" s="405" t="s">
        <v>271</v>
      </c>
      <c r="B9" s="406">
        <f>VLOOKUP($B$6,$K$3:$P$11,3,FALSE)</f>
        <v>15672</v>
      </c>
      <c r="C9" s="406">
        <f>VLOOKUP($C$6,$K$3:$P$11,3,FALSE)</f>
        <v>16128</v>
      </c>
      <c r="D9" s="407">
        <f t="shared" ref="D9:D13" si="0">(C9-B9)/B9</f>
        <v>2.9096477794793262E-2</v>
      </c>
      <c r="E9" s="408">
        <f>VLOOKUP($E$6,$R$3:$W$11,3,FALSE)</f>
        <v>43732</v>
      </c>
      <c r="F9" s="408">
        <f>VLOOKUP($F$6,$R$3:$W$11,3,FALSE)</f>
        <v>45480</v>
      </c>
      <c r="G9" s="409">
        <f t="shared" ref="G9:G12" si="1">(F9-E9)/E9</f>
        <v>3.997073081496387E-2</v>
      </c>
      <c r="K9" t="s">
        <v>284</v>
      </c>
      <c r="L9" s="76"/>
      <c r="M9" s="76"/>
      <c r="N9" s="76"/>
      <c r="O9" s="76"/>
      <c r="P9" s="76"/>
      <c r="R9" t="s">
        <v>284</v>
      </c>
      <c r="S9" s="76"/>
      <c r="T9" s="76"/>
      <c r="U9" s="76"/>
      <c r="V9" s="76"/>
      <c r="W9" s="76"/>
    </row>
    <row r="10" spans="1:23" x14ac:dyDescent="0.35">
      <c r="A10" s="410" t="s">
        <v>182</v>
      </c>
      <c r="B10" s="406">
        <f>VLOOKUP($B$6,$K$3:$P$11,4,FALSE)</f>
        <v>13824</v>
      </c>
      <c r="C10" s="406">
        <f>VLOOKUP($C$6,$K$3:$P$11,4,FALSE)</f>
        <v>14232</v>
      </c>
      <c r="D10" s="407">
        <f t="shared" si="0"/>
        <v>2.9513888888888888E-2</v>
      </c>
      <c r="E10" s="408">
        <f>VLOOKUP($E$6,$R$3:$W$11,4,FALSE)</f>
        <v>42190</v>
      </c>
      <c r="F10" s="408">
        <f>VLOOKUP($F$6,$R$3:$W$11,4,FALSE)</f>
        <v>43876</v>
      </c>
      <c r="G10" s="409">
        <f t="shared" si="1"/>
        <v>3.9962076321403174E-2</v>
      </c>
      <c r="K10" t="s">
        <v>285</v>
      </c>
      <c r="L10" s="76"/>
      <c r="M10" s="76"/>
      <c r="N10" s="76"/>
      <c r="O10" s="76"/>
      <c r="P10" s="76"/>
      <c r="R10" t="s">
        <v>285</v>
      </c>
      <c r="S10" s="76"/>
      <c r="T10" s="76"/>
      <c r="U10" s="76"/>
      <c r="V10" s="76"/>
      <c r="W10" s="76"/>
    </row>
    <row r="11" spans="1:23" x14ac:dyDescent="0.35">
      <c r="A11" s="410" t="s">
        <v>187</v>
      </c>
      <c r="B11" s="406">
        <f>VLOOKUP($B$6,$K$3:$P$11,5,FALSE)</f>
        <v>11976</v>
      </c>
      <c r="C11" s="406">
        <f>VLOOKUP($C$6,$K$3:$P$11,5,FALSE)</f>
        <v>12312</v>
      </c>
      <c r="D11" s="407">
        <f t="shared" si="0"/>
        <v>2.8056112224448898E-2</v>
      </c>
      <c r="E11" s="408">
        <f>VLOOKUP($E$6,$R$3:$W$11,5,FALSE)</f>
        <v>40320</v>
      </c>
      <c r="F11" s="408">
        <f>VLOOKUP($F$6,$R$3:$W$11,5,FALSE)</f>
        <v>41932</v>
      </c>
      <c r="G11" s="409">
        <f t="shared" si="1"/>
        <v>3.9980158730158727E-2</v>
      </c>
      <c r="K11" t="s">
        <v>286</v>
      </c>
      <c r="L11" s="76"/>
      <c r="M11" s="76"/>
      <c r="N11" s="76"/>
      <c r="O11" s="76"/>
      <c r="P11" s="76"/>
      <c r="R11" t="s">
        <v>286</v>
      </c>
      <c r="S11" s="76"/>
      <c r="T11" s="76"/>
      <c r="U11" s="76"/>
      <c r="V11" s="76"/>
      <c r="W11" s="76"/>
    </row>
    <row r="12" spans="1:23" x14ac:dyDescent="0.35">
      <c r="A12" s="412" t="s">
        <v>231</v>
      </c>
      <c r="B12" s="406">
        <f>VLOOKUP($B$6,$K$3:$P$11,6,FALSE)</f>
        <v>11976</v>
      </c>
      <c r="C12" s="406">
        <f>VLOOKUP($C$6,$K$3:$P$11,6,FALSE)</f>
        <v>12312</v>
      </c>
      <c r="D12" s="407">
        <f t="shared" si="0"/>
        <v>2.8056112224448898E-2</v>
      </c>
      <c r="E12" s="408">
        <f>VLOOKUP($E$6,$R$3:$W$11,6,FALSE)</f>
        <v>40320</v>
      </c>
      <c r="F12" s="408">
        <f>VLOOKUP($F$6,$R$3:$W$11,6,FALSE)</f>
        <v>41932</v>
      </c>
      <c r="G12" s="409">
        <f t="shared" si="1"/>
        <v>3.9980158730158727E-2</v>
      </c>
    </row>
    <row r="13" spans="1:23" x14ac:dyDescent="0.35">
      <c r="A13" s="413" t="s">
        <v>232</v>
      </c>
      <c r="B13" s="414">
        <f>VLOOKUP(B6,$K$29:$O$37,2,FALSE)*2</f>
        <v>1646.34</v>
      </c>
      <c r="C13" s="414">
        <f>VLOOKUP(C6,$K$29:$O$37,2,FALSE)*2</f>
        <v>1690.34</v>
      </c>
      <c r="D13" s="415">
        <f t="shared" si="0"/>
        <v>2.6725949682325646E-2</v>
      </c>
      <c r="E13" s="414">
        <f>VLOOKUP(E6,$K$29:$O$37,3,FALSE)*2</f>
        <v>1646.34</v>
      </c>
      <c r="F13" s="414">
        <f>VLOOKUP(F6,$K$29:$O$37,3,FALSE)*2</f>
        <v>1690.34</v>
      </c>
      <c r="G13" s="416">
        <f>(F13-E13)/E13</f>
        <v>2.6725949682325646E-2</v>
      </c>
    </row>
    <row r="14" spans="1:23" x14ac:dyDescent="0.35">
      <c r="A14" s="417" t="s">
        <v>272</v>
      </c>
      <c r="B14" s="418">
        <f>B12+B13</f>
        <v>13622.34</v>
      </c>
      <c r="C14" s="418">
        <f>C12+C13</f>
        <v>14002.34</v>
      </c>
      <c r="D14" s="415">
        <f>(C14-B14)/B14</f>
        <v>2.7895354248976312E-2</v>
      </c>
      <c r="E14" s="418">
        <f>E12+E13</f>
        <v>41966.34</v>
      </c>
      <c r="F14" s="418">
        <f>F12+F13</f>
        <v>43622.34</v>
      </c>
      <c r="G14" s="416">
        <f>+(F14-E14)/E14</f>
        <v>3.9460195957045578E-2</v>
      </c>
    </row>
    <row r="15" spans="1:23" ht="31.5" customHeight="1" x14ac:dyDescent="0.35">
      <c r="A15" s="454" t="str">
        <f>"**Total is Student Share including COF stipend (res. only) of $"&amp;VLOOKUP(C6,R29:S37,2,FALSE)&amp;"/credit hour for FY25.
***A&amp;S NS Tuition Rate began in 2023"</f>
        <v>**Total is Student Share including COF stipend (res. only) of $116/credit hour for FY25.
***A&amp;S NS Tuition Rate began in 2023</v>
      </c>
      <c r="B15" s="439"/>
      <c r="C15" s="439"/>
      <c r="D15" s="439"/>
      <c r="E15" s="439"/>
      <c r="F15" s="439"/>
      <c r="G15" s="440"/>
      <c r="L15" s="475" t="s">
        <v>290</v>
      </c>
      <c r="M15" s="475"/>
      <c r="N15" s="475"/>
      <c r="O15" s="475"/>
      <c r="P15" s="475"/>
      <c r="S15" s="475" t="s">
        <v>291</v>
      </c>
      <c r="T15" s="475"/>
      <c r="U15" s="475"/>
      <c r="V15" s="475"/>
      <c r="W15" s="475"/>
    </row>
    <row r="16" spans="1:23" x14ac:dyDescent="0.35">
      <c r="A16" s="427" t="s">
        <v>273</v>
      </c>
      <c r="B16" s="428"/>
      <c r="C16" s="428"/>
      <c r="D16" s="429"/>
      <c r="E16" s="428"/>
      <c r="F16" s="428"/>
      <c r="G16" s="430"/>
      <c r="L16" t="s">
        <v>238</v>
      </c>
      <c r="M16" t="s">
        <v>289</v>
      </c>
      <c r="N16" t="s">
        <v>184</v>
      </c>
      <c r="O16" t="s">
        <v>182</v>
      </c>
      <c r="P16" t="s">
        <v>279</v>
      </c>
      <c r="S16" t="s">
        <v>238</v>
      </c>
      <c r="T16" t="s">
        <v>289</v>
      </c>
      <c r="U16" t="s">
        <v>184</v>
      </c>
      <c r="V16" t="s">
        <v>182</v>
      </c>
      <c r="W16" t="s">
        <v>279</v>
      </c>
    </row>
    <row r="17" spans="1:23" x14ac:dyDescent="0.35">
      <c r="A17" s="405" t="s">
        <v>238</v>
      </c>
      <c r="B17" s="406">
        <f>VLOOKUP($B$6,$K$17:$P$25,2,FALSE)</f>
        <v>32778</v>
      </c>
      <c r="C17" s="406">
        <f>VLOOKUP($C$6,$K$17:$P$25,2,FALSE)</f>
        <v>34416</v>
      </c>
      <c r="D17" s="419">
        <f>(C17-B17)/B17</f>
        <v>4.9972542559033495E-2</v>
      </c>
      <c r="E17" s="408">
        <f>VLOOKUP($E$6,$R$17:$W$25,2,FALSE)</f>
        <v>40248</v>
      </c>
      <c r="F17" s="408">
        <f>VLOOKUP($F$6,$R$17:$W$25,2,FALSE)</f>
        <v>42246</v>
      </c>
      <c r="G17" s="409">
        <f>(F17-E17)/E17</f>
        <v>4.9642218246869409E-2</v>
      </c>
      <c r="K17" t="s">
        <v>265</v>
      </c>
      <c r="L17" s="431">
        <v>29718</v>
      </c>
      <c r="M17" s="431">
        <v>16866</v>
      </c>
      <c r="N17" s="431">
        <v>15372</v>
      </c>
      <c r="O17" s="431">
        <v>13500</v>
      </c>
      <c r="P17" s="431">
        <v>11826</v>
      </c>
      <c r="R17" t="s">
        <v>265</v>
      </c>
      <c r="S17" s="431">
        <v>36504</v>
      </c>
      <c r="T17" s="431">
        <v>35100</v>
      </c>
      <c r="U17" s="431">
        <v>34128</v>
      </c>
      <c r="V17" s="431">
        <v>32976</v>
      </c>
      <c r="W17" s="431">
        <v>31284</v>
      </c>
    </row>
    <row r="18" spans="1:23" x14ac:dyDescent="0.35">
      <c r="A18" s="412" t="s">
        <v>239</v>
      </c>
      <c r="B18" s="406">
        <f>VLOOKUP($B$6,$K$17:$P$25,3,FALSE)</f>
        <v>18576</v>
      </c>
      <c r="C18" s="406">
        <f>VLOOKUP($C$6,$K$17:$P$25,3,FALSE)</f>
        <v>19116</v>
      </c>
      <c r="D18" s="419">
        <f t="shared" ref="D18:D23" si="2">(C18-B18)/B18</f>
        <v>2.9069767441860465E-2</v>
      </c>
      <c r="E18" s="408">
        <f>VLOOKUP($E$6,$R$17:$W$25,3,FALSE)</f>
        <v>38700</v>
      </c>
      <c r="F18" s="408">
        <f>VLOOKUP($F$6,$R$17:$W$25,3,FALSE)</f>
        <v>39852</v>
      </c>
      <c r="G18" s="409">
        <f t="shared" ref="G18:G22" si="3">(F18-E18)/E18</f>
        <v>2.9767441860465118E-2</v>
      </c>
      <c r="K18" t="s">
        <v>266</v>
      </c>
      <c r="L18" s="431">
        <v>31518</v>
      </c>
      <c r="M18" s="431">
        <v>17874</v>
      </c>
      <c r="N18" s="431">
        <v>16290</v>
      </c>
      <c r="O18" s="431">
        <v>14310</v>
      </c>
      <c r="P18" s="431">
        <v>12528</v>
      </c>
      <c r="R18" t="s">
        <v>266</v>
      </c>
      <c r="S18" s="431">
        <v>38700</v>
      </c>
      <c r="T18" s="431">
        <v>37224</v>
      </c>
      <c r="U18" s="431">
        <v>36180</v>
      </c>
      <c r="V18" s="431">
        <v>34956</v>
      </c>
      <c r="W18" s="431">
        <v>33174</v>
      </c>
    </row>
    <row r="19" spans="1:23" x14ac:dyDescent="0.35">
      <c r="A19" s="405" t="s">
        <v>184</v>
      </c>
      <c r="B19" s="406">
        <f>VLOOKUP($B$6,$K$17:$P$25,4,FALSE)</f>
        <v>16938</v>
      </c>
      <c r="C19" s="406">
        <f>VLOOKUP($C$6,$K$17:$P$25,4,FALSE)</f>
        <v>17442</v>
      </c>
      <c r="D19" s="419">
        <f t="shared" si="2"/>
        <v>2.975557917109458E-2</v>
      </c>
      <c r="E19" s="408">
        <f>VLOOKUP($E$6,$R$17:$W$25,4,FALSE)</f>
        <v>37620</v>
      </c>
      <c r="F19" s="408">
        <f>VLOOKUP($F$6,$R$17:$W$25,4,FALSE)</f>
        <v>38736</v>
      </c>
      <c r="G19" s="409">
        <f t="shared" si="3"/>
        <v>2.9665071770334929E-2</v>
      </c>
      <c r="K19" t="s">
        <v>280</v>
      </c>
      <c r="L19" s="431">
        <f>16389*2</f>
        <v>32778</v>
      </c>
      <c r="M19" s="431">
        <f>9288*2</f>
        <v>18576</v>
      </c>
      <c r="N19" s="431">
        <f>8469*2</f>
        <v>16938</v>
      </c>
      <c r="O19" s="431">
        <f>7434*2</f>
        <v>14868</v>
      </c>
      <c r="P19" s="431">
        <f>6507*2</f>
        <v>13014</v>
      </c>
      <c r="R19" t="s">
        <v>280</v>
      </c>
      <c r="S19" s="431">
        <v>40248</v>
      </c>
      <c r="T19" s="431">
        <v>38700</v>
      </c>
      <c r="U19" s="431">
        <v>37620</v>
      </c>
      <c r="V19" s="431">
        <v>36342</v>
      </c>
      <c r="W19" s="431">
        <v>34488</v>
      </c>
    </row>
    <row r="20" spans="1:23" x14ac:dyDescent="0.35">
      <c r="A20" s="410" t="s">
        <v>182</v>
      </c>
      <c r="B20" s="406">
        <f>VLOOKUP($B$6,$K$17:$P$25,5,FALSE)</f>
        <v>14868</v>
      </c>
      <c r="C20" s="406">
        <f>VLOOKUP($C$6,$K$17:$P$25,5,FALSE)</f>
        <v>15300</v>
      </c>
      <c r="D20" s="419">
        <f t="shared" si="2"/>
        <v>2.9055690072639227E-2</v>
      </c>
      <c r="E20" s="408">
        <f>VLOOKUP($E$6,$R$17:$W$25,5,FALSE)</f>
        <v>36342</v>
      </c>
      <c r="F20" s="408">
        <f>VLOOKUP($F$6,$R$17:$W$25,5,FALSE)</f>
        <v>37422</v>
      </c>
      <c r="G20" s="409">
        <f t="shared" si="3"/>
        <v>2.9717682020802376E-2</v>
      </c>
      <c r="K20" t="s">
        <v>281</v>
      </c>
      <c r="L20" s="431">
        <f>17208*2</f>
        <v>34416</v>
      </c>
      <c r="M20" s="431">
        <f>9558*2</f>
        <v>19116</v>
      </c>
      <c r="N20" s="431">
        <f>8721*2</f>
        <v>17442</v>
      </c>
      <c r="O20" s="431">
        <f>7650*2</f>
        <v>15300</v>
      </c>
      <c r="P20" s="431">
        <f>6696*2</f>
        <v>13392</v>
      </c>
      <c r="R20" t="s">
        <v>281</v>
      </c>
      <c r="S20" s="431">
        <f>21123*2</f>
        <v>42246</v>
      </c>
      <c r="T20" s="431">
        <f>19926*2</f>
        <v>39852</v>
      </c>
      <c r="U20" s="431">
        <f>19368*2</f>
        <v>38736</v>
      </c>
      <c r="V20" s="431">
        <f>18711*2</f>
        <v>37422</v>
      </c>
      <c r="W20" s="431">
        <f>17757*2</f>
        <v>35514</v>
      </c>
    </row>
    <row r="21" spans="1:23" x14ac:dyDescent="0.35">
      <c r="A21" s="405" t="s">
        <v>231</v>
      </c>
      <c r="B21" s="420">
        <f>VLOOKUP($B$6,$K$17:$P$25,6,FALSE)</f>
        <v>13014</v>
      </c>
      <c r="C21" s="420">
        <f>VLOOKUP($C$6,$K$17:$P$25,6,FALSE)</f>
        <v>13392</v>
      </c>
      <c r="D21" s="419">
        <f t="shared" si="2"/>
        <v>2.9045643153526972E-2</v>
      </c>
      <c r="E21" s="411">
        <f>VLOOKUP($E$6,$R$17:$W$25,6,FALSE)</f>
        <v>34488</v>
      </c>
      <c r="F21" s="420">
        <f>VLOOKUP($F$6,$R$17:$W$25,6,FALSE)</f>
        <v>35514</v>
      </c>
      <c r="G21" s="409">
        <f t="shared" si="3"/>
        <v>2.9749478079331943E-2</v>
      </c>
      <c r="K21" t="s">
        <v>282</v>
      </c>
      <c r="L21" s="76"/>
      <c r="M21" s="76"/>
      <c r="N21" s="76"/>
      <c r="O21" s="76"/>
      <c r="P21" s="76"/>
      <c r="R21" t="s">
        <v>282</v>
      </c>
      <c r="S21" s="76"/>
      <c r="T21" s="76"/>
      <c r="U21" s="76"/>
      <c r="V21" s="76"/>
      <c r="W21" s="76"/>
    </row>
    <row r="22" spans="1:23" x14ac:dyDescent="0.35">
      <c r="A22" s="413" t="s">
        <v>232</v>
      </c>
      <c r="B22" s="420">
        <f>VLOOKUP(B6,$K$29:$O$37,4,FALSE)*2</f>
        <v>1612.58</v>
      </c>
      <c r="C22" s="420">
        <f>VLOOKUP(C6,$K$29:$O$37,4,FALSE)*2</f>
        <v>1664.48</v>
      </c>
      <c r="D22" s="421">
        <f t="shared" si="2"/>
        <v>3.2184449763732713E-2</v>
      </c>
      <c r="E22" s="420">
        <f>VLOOKUP(E6,$K$29:$O$37,5,FALSE)*2</f>
        <v>1612.58</v>
      </c>
      <c r="F22" s="420">
        <f>VLOOKUP(F6,$K$29:$O$37,5,FALSE)*2</f>
        <v>1664.48</v>
      </c>
      <c r="G22" s="421">
        <f t="shared" si="3"/>
        <v>3.2184449763732713E-2</v>
      </c>
      <c r="K22" t="s">
        <v>283</v>
      </c>
      <c r="L22" s="76"/>
      <c r="M22" s="76"/>
      <c r="N22" s="76"/>
      <c r="O22" s="76"/>
      <c r="P22" s="76"/>
      <c r="R22" t="s">
        <v>283</v>
      </c>
      <c r="S22" s="76"/>
      <c r="T22" s="76"/>
      <c r="U22" s="76"/>
      <c r="V22" s="76"/>
      <c r="W22" s="76"/>
    </row>
    <row r="23" spans="1:23" x14ac:dyDescent="0.35">
      <c r="A23" s="422" t="s">
        <v>274</v>
      </c>
      <c r="B23" s="423">
        <f>B21+B22</f>
        <v>14626.58</v>
      </c>
      <c r="C23" s="423">
        <f>C21+C22</f>
        <v>15056.48</v>
      </c>
      <c r="D23" s="419">
        <f t="shared" si="2"/>
        <v>2.9391696486806871E-2</v>
      </c>
      <c r="E23" s="423">
        <f>E21+E22</f>
        <v>36100.58</v>
      </c>
      <c r="F23" s="423">
        <f>F21+F22</f>
        <v>37178.480000000003</v>
      </c>
      <c r="G23" s="416">
        <f>+(F23-E23)/E23</f>
        <v>2.9858246044800429E-2</v>
      </c>
      <c r="K23" t="s">
        <v>284</v>
      </c>
      <c r="L23" s="76"/>
      <c r="M23" s="76"/>
      <c r="N23" s="76"/>
      <c r="O23" s="76"/>
      <c r="P23" s="76"/>
      <c r="R23" t="s">
        <v>284</v>
      </c>
      <c r="S23" s="76"/>
      <c r="T23" s="76"/>
      <c r="U23" s="76"/>
      <c r="V23" s="76"/>
      <c r="W23" s="76"/>
    </row>
    <row r="24" spans="1:23" x14ac:dyDescent="0.35">
      <c r="A24" s="424" t="s">
        <v>241</v>
      </c>
      <c r="B24" s="425"/>
      <c r="C24" s="425"/>
      <c r="D24" s="425"/>
      <c r="E24" s="425"/>
      <c r="F24" s="425"/>
      <c r="G24" s="426"/>
      <c r="K24" t="s">
        <v>285</v>
      </c>
      <c r="L24" s="76"/>
      <c r="M24" s="76"/>
      <c r="N24" s="76"/>
      <c r="O24" s="76"/>
      <c r="P24" s="76"/>
      <c r="R24" t="s">
        <v>285</v>
      </c>
      <c r="S24" s="76"/>
      <c r="T24" s="76"/>
      <c r="U24" s="76"/>
      <c r="V24" s="76"/>
      <c r="W24" s="76"/>
    </row>
    <row r="25" spans="1:23" x14ac:dyDescent="0.35">
      <c r="K25" t="s">
        <v>286</v>
      </c>
      <c r="L25" s="76"/>
      <c r="M25" s="76"/>
      <c r="N25" s="76"/>
      <c r="O25" s="76"/>
      <c r="P25" s="76"/>
      <c r="R25" t="s">
        <v>286</v>
      </c>
      <c r="S25" s="76"/>
      <c r="T25" s="76"/>
      <c r="U25" s="76"/>
      <c r="V25" s="76"/>
      <c r="W25" s="76"/>
    </row>
    <row r="27" spans="1:23" x14ac:dyDescent="0.35">
      <c r="L27" s="475" t="s">
        <v>292</v>
      </c>
      <c r="M27" s="475"/>
      <c r="N27" s="475"/>
      <c r="O27" s="475"/>
    </row>
    <row r="28" spans="1:23" x14ac:dyDescent="0.35">
      <c r="L28" t="s">
        <v>288</v>
      </c>
      <c r="M28" t="s">
        <v>293</v>
      </c>
      <c r="N28" t="s">
        <v>173</v>
      </c>
      <c r="O28" t="s">
        <v>294</v>
      </c>
      <c r="S28" t="s">
        <v>93</v>
      </c>
    </row>
    <row r="29" spans="1:23" x14ac:dyDescent="0.35">
      <c r="K29" t="s">
        <v>265</v>
      </c>
      <c r="L29" s="76">
        <v>868.92</v>
      </c>
      <c r="M29" s="76">
        <v>883.17</v>
      </c>
      <c r="N29" s="76">
        <v>866.29</v>
      </c>
      <c r="O29" s="76">
        <v>866.29</v>
      </c>
      <c r="R29" t="s">
        <v>265</v>
      </c>
      <c r="S29" s="76"/>
    </row>
    <row r="30" spans="1:23" x14ac:dyDescent="0.35">
      <c r="K30" t="s">
        <v>266</v>
      </c>
      <c r="L30" s="76">
        <v>793.17</v>
      </c>
      <c r="M30" s="76">
        <v>793.17</v>
      </c>
      <c r="N30" s="76">
        <v>776.29</v>
      </c>
      <c r="O30" s="76">
        <v>776.29</v>
      </c>
      <c r="R30" t="s">
        <v>266</v>
      </c>
      <c r="S30" s="76">
        <v>104</v>
      </c>
    </row>
    <row r="31" spans="1:23" x14ac:dyDescent="0.35">
      <c r="K31" t="s">
        <v>280</v>
      </c>
      <c r="L31" s="76">
        <v>823.17</v>
      </c>
      <c r="M31" s="76">
        <v>823.17</v>
      </c>
      <c r="N31" s="76">
        <v>806.29</v>
      </c>
      <c r="O31" s="76">
        <v>806.29</v>
      </c>
      <c r="R31" t="s">
        <v>280</v>
      </c>
      <c r="S31" s="76">
        <v>116</v>
      </c>
    </row>
    <row r="32" spans="1:23" x14ac:dyDescent="0.35">
      <c r="K32" t="s">
        <v>281</v>
      </c>
      <c r="L32" s="76">
        <v>845.17</v>
      </c>
      <c r="M32" s="76">
        <f>L32</f>
        <v>845.17</v>
      </c>
      <c r="N32" s="76">
        <v>832.24</v>
      </c>
      <c r="O32" s="76">
        <f>N32</f>
        <v>832.24</v>
      </c>
      <c r="R32" t="s">
        <v>281</v>
      </c>
      <c r="S32" s="76">
        <v>116</v>
      </c>
    </row>
    <row r="33" spans="11:19" x14ac:dyDescent="0.35">
      <c r="K33" t="s">
        <v>282</v>
      </c>
      <c r="L33" s="76"/>
      <c r="M33" s="76"/>
      <c r="N33" s="76"/>
      <c r="O33" s="76"/>
      <c r="R33" t="s">
        <v>282</v>
      </c>
      <c r="S33" s="76"/>
    </row>
    <row r="34" spans="11:19" x14ac:dyDescent="0.35">
      <c r="K34" t="s">
        <v>283</v>
      </c>
      <c r="L34" s="76"/>
      <c r="M34" s="76"/>
      <c r="N34" s="76"/>
      <c r="O34" s="76"/>
      <c r="R34" t="s">
        <v>283</v>
      </c>
      <c r="S34" s="76"/>
    </row>
    <row r="35" spans="11:19" x14ac:dyDescent="0.35">
      <c r="K35" t="s">
        <v>284</v>
      </c>
      <c r="L35" s="76"/>
      <c r="M35" s="76"/>
      <c r="N35" s="76"/>
      <c r="O35" s="76"/>
      <c r="R35" t="s">
        <v>284</v>
      </c>
      <c r="S35" s="76"/>
    </row>
    <row r="36" spans="11:19" x14ac:dyDescent="0.35">
      <c r="K36" t="s">
        <v>285</v>
      </c>
      <c r="L36" s="76"/>
      <c r="M36" s="76"/>
      <c r="N36" s="76"/>
      <c r="O36" s="76"/>
      <c r="R36" t="s">
        <v>285</v>
      </c>
      <c r="S36" s="76"/>
    </row>
    <row r="37" spans="11:19" x14ac:dyDescent="0.35">
      <c r="K37" t="s">
        <v>286</v>
      </c>
      <c r="L37" s="76"/>
      <c r="M37" s="76"/>
      <c r="N37" s="76"/>
      <c r="O37" s="76"/>
      <c r="R37" t="s">
        <v>286</v>
      </c>
      <c r="S37" s="76"/>
    </row>
  </sheetData>
  <mergeCells count="9">
    <mergeCell ref="L1:P1"/>
    <mergeCell ref="S1:W1"/>
    <mergeCell ref="L15:P15"/>
    <mergeCell ref="S15:W15"/>
    <mergeCell ref="B5:D5"/>
    <mergeCell ref="E5:G5"/>
    <mergeCell ref="B7:D7"/>
    <mergeCell ref="E7:G7"/>
    <mergeCell ref="L27:O27"/>
  </mergeCells>
  <hyperlinks>
    <hyperlink ref="B1" r:id="rId1" xr:uid="{9ABC4EAF-7A04-4462-AC9D-C6962CBB16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Revenue</vt:lpstr>
      <vt:lpstr>Fringe Benefits</vt:lpstr>
      <vt:lpstr>ICR Rates</vt:lpstr>
      <vt:lpstr>OCG</vt:lpstr>
      <vt:lpstr>GAIR</vt:lpstr>
      <vt:lpstr>State Appropriations</vt:lpstr>
      <vt:lpstr>Student Statistics (Headcount)</vt:lpstr>
      <vt:lpstr>Employee Headcount</vt:lpstr>
      <vt:lpstr>Tuition&amp;Fees</vt:lpstr>
      <vt:lpstr>Enrollment Summary</vt:lpstr>
      <vt:lpstr>Enrollment Summary by School</vt:lpstr>
      <vt:lpstr>Info ALL</vt:lpstr>
    </vt:vector>
  </TitlesOfParts>
  <Company>University of Colorado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Webster</dc:creator>
  <cp:lastModifiedBy>Hanna Coatney</cp:lastModifiedBy>
  <dcterms:created xsi:type="dcterms:W3CDTF">2022-09-20T14:58:06Z</dcterms:created>
  <dcterms:modified xsi:type="dcterms:W3CDTF">2024-11-06T17:38:02Z</dcterms:modified>
</cp:coreProperties>
</file>