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365coloradoedu-my.sharepoint.com/personal/anch5517_colorado_edu/Documents/UCB/Documents/"/>
    </mc:Choice>
  </mc:AlternateContent>
  <xr:revisionPtr revIDLastSave="8" documentId="8_{455C9A19-8489-449D-8E72-F62CB3699DBC}" xr6:coauthVersionLast="47" xr6:coauthVersionMax="47" xr10:uidLastSave="{0301AF14-F5F2-4E33-B2B3-970AA29A57C9}"/>
  <bookViews>
    <workbookView xWindow="-23148" yWindow="-108" windowWidth="23256" windowHeight="12456" tabRatio="693" xr2:uid="{00000000-000D-0000-FFFF-FFFF00000000}"/>
  </bookViews>
  <sheets>
    <sheet name="Introduction &amp; Guide " sheetId="5" r:id="rId1"/>
    <sheet name="Compensation Planning Tool" sheetId="1" r:id="rId2"/>
    <sheet name="Funding Distribution" sheetId="3" r:id="rId3"/>
    <sheet name="Summer Request Form" sheetId="2" r:id="rId4"/>
  </sheets>
  <definedNames>
    <definedName name="_xlnm.Print_Area" localSheetId="1">'Compensation Planning Tool'!$A$1:$O$86</definedName>
    <definedName name="_xlnm.Print_Area" localSheetId="3">'Summer Request Form'!$A$1:$O$44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85" i="1" l="1"/>
  <c r="CF85" i="1"/>
  <c r="CI84" i="1"/>
  <c r="CH84" i="1"/>
  <c r="CG84" i="1" s="1"/>
  <c r="CI83" i="1"/>
  <c r="CH83" i="1"/>
  <c r="CG83" i="1" s="1"/>
  <c r="CI81" i="1"/>
  <c r="CH81" i="1"/>
  <c r="CG81" i="1" s="1"/>
  <c r="CI80" i="1"/>
  <c r="CH80" i="1"/>
  <c r="CG80" i="1" s="1"/>
  <c r="CI79" i="1"/>
  <c r="CH79" i="1"/>
  <c r="CG79" i="1" s="1"/>
  <c r="CI78" i="1"/>
  <c r="CH78" i="1"/>
  <c r="CG78" i="1" s="1"/>
  <c r="CG70" i="1"/>
  <c r="CF70" i="1"/>
  <c r="CI69" i="1"/>
  <c r="CH69" i="1"/>
  <c r="CG69" i="1"/>
  <c r="CF69" i="1"/>
  <c r="CI68" i="1"/>
  <c r="CH68" i="1"/>
  <c r="CG68" i="1"/>
  <c r="CF68" i="1"/>
  <c r="CI67" i="1"/>
  <c r="CH67" i="1"/>
  <c r="CG67" i="1"/>
  <c r="CF67" i="1"/>
  <c r="CI66" i="1"/>
  <c r="CH66" i="1"/>
  <c r="CG66" i="1"/>
  <c r="CF66" i="1"/>
  <c r="CI64" i="1"/>
  <c r="CH64" i="1"/>
  <c r="CF64" i="1" s="1"/>
  <c r="CG64" i="1"/>
  <c r="CI63" i="1"/>
  <c r="CH63" i="1"/>
  <c r="CF63" i="1" s="1"/>
  <c r="CG63" i="1"/>
  <c r="CI62" i="1"/>
  <c r="CH62" i="1"/>
  <c r="CG62" i="1" s="1"/>
  <c r="CI61" i="1"/>
  <c r="CH61" i="1"/>
  <c r="CG61" i="1" s="1"/>
  <c r="D56" i="1"/>
  <c r="C53" i="1"/>
  <c r="D48" i="1"/>
  <c r="D40" i="1"/>
  <c r="E34" i="1"/>
  <c r="D32" i="1"/>
  <c r="C26" i="1"/>
  <c r="C61" i="1" s="1"/>
  <c r="C24" i="1"/>
  <c r="C22" i="1"/>
  <c r="C25" i="1" s="1"/>
  <c r="BS21" i="1"/>
  <c r="BT21" i="1" s="1"/>
  <c r="BR21" i="1"/>
  <c r="BP21" i="1"/>
  <c r="BU21" i="1" s="1"/>
  <c r="BO21" i="1"/>
  <c r="BC21" i="1"/>
  <c r="BN19" i="1"/>
  <c r="BK19" i="1"/>
  <c r="BJ19" i="1"/>
  <c r="BG19" i="1"/>
  <c r="BH19" i="1" s="1"/>
  <c r="BB19" i="1"/>
  <c r="BA19" i="1"/>
  <c r="BC19" i="1" s="1"/>
  <c r="AY19" i="1"/>
  <c r="AX19" i="1"/>
  <c r="BM19" i="1" s="1"/>
  <c r="BO19" i="1" s="1"/>
  <c r="AV19" i="1"/>
  <c r="AU19" i="1"/>
  <c r="AW19" i="1" s="1"/>
  <c r="AS19" i="1"/>
  <c r="AR19" i="1"/>
  <c r="AT19" i="1" s="1"/>
  <c r="BO18" i="1"/>
  <c r="BN18" i="1"/>
  <c r="BM18" i="1"/>
  <c r="BG18" i="1"/>
  <c r="AY18" i="1"/>
  <c r="AX18" i="1"/>
  <c r="AZ18" i="1" s="1"/>
  <c r="AV18" i="1"/>
  <c r="BJ18" i="1" s="1"/>
  <c r="BK18" i="1" s="1"/>
  <c r="AU18" i="1"/>
  <c r="AW18" i="1" s="1"/>
  <c r="AS18" i="1"/>
  <c r="AR18" i="1"/>
  <c r="AT18" i="1" s="1"/>
  <c r="BH18" i="1" s="1"/>
  <c r="BS17" i="1"/>
  <c r="BT17" i="1" s="1"/>
  <c r="BK17" i="1"/>
  <c r="BL17" i="1" s="1"/>
  <c r="BG17" i="1"/>
  <c r="BH17" i="1" s="1"/>
  <c r="BC17" i="1"/>
  <c r="BB17" i="1"/>
  <c r="BA17" i="1"/>
  <c r="AY17" i="1"/>
  <c r="BN17" i="1" s="1"/>
  <c r="BO17" i="1" s="1"/>
  <c r="AX17" i="1"/>
  <c r="AT17" i="1"/>
  <c r="AS17" i="1"/>
  <c r="AR17" i="1"/>
  <c r="Q17" i="1"/>
  <c r="BO16" i="1"/>
  <c r="BP16" i="1" s="1"/>
  <c r="BK16" i="1"/>
  <c r="BL16" i="1" s="1"/>
  <c r="BG16" i="1"/>
  <c r="AY16" i="1"/>
  <c r="AX16" i="1"/>
  <c r="AZ16" i="1" s="1"/>
  <c r="AV16" i="1"/>
  <c r="AU16" i="1"/>
  <c r="AW16" i="1" s="1"/>
  <c r="AS16" i="1"/>
  <c r="AR16" i="1"/>
  <c r="AT16" i="1" s="1"/>
  <c r="BH16" i="1" s="1"/>
  <c r="Q16" i="1"/>
  <c r="BG15" i="1"/>
  <c r="BH15" i="1" s="1"/>
  <c r="AT15" i="1"/>
  <c r="AS15" i="1"/>
  <c r="AR15" i="1"/>
  <c r="C14" i="1"/>
  <c r="C45" i="1" s="1"/>
  <c r="Q13" i="1"/>
  <c r="Q12" i="1"/>
  <c r="C12" i="1"/>
  <c r="Q11" i="1"/>
  <c r="Q10" i="1"/>
  <c r="C10" i="1"/>
  <c r="C13" i="1" s="1"/>
  <c r="Q7" i="1"/>
  <c r="M26" i="1" s="1"/>
  <c r="Q6" i="1"/>
  <c r="Q5" i="1"/>
  <c r="Q4" i="1"/>
  <c r="L25" i="2"/>
  <c r="M21" i="2"/>
  <c r="M25" i="2"/>
  <c r="L21" i="2"/>
  <c r="L17" i="2"/>
  <c r="L13" i="2"/>
  <c r="M17" i="2"/>
  <c r="M13" i="2"/>
  <c r="Z20" i="2"/>
  <c r="Z19" i="2"/>
  <c r="Z18" i="2"/>
  <c r="Z17" i="2"/>
  <c r="Z16" i="2"/>
  <c r="Z15" i="2"/>
  <c r="Z14" i="2"/>
  <c r="Z13" i="2"/>
  <c r="W20" i="2"/>
  <c r="W19" i="2"/>
  <c r="W18" i="2"/>
  <c r="W17" i="2"/>
  <c r="W16" i="2"/>
  <c r="W15" i="2"/>
  <c r="W14" i="2"/>
  <c r="W13" i="2"/>
  <c r="T20" i="2"/>
  <c r="T19" i="2"/>
  <c r="T18" i="2"/>
  <c r="T17" i="2"/>
  <c r="T16" i="2"/>
  <c r="T15" i="2"/>
  <c r="T14" i="2"/>
  <c r="U11" i="2"/>
  <c r="T13" i="2"/>
  <c r="Q20" i="2"/>
  <c r="Q19" i="2"/>
  <c r="Q18" i="2"/>
  <c r="Q17" i="2"/>
  <c r="Q16" i="2"/>
  <c r="Q15" i="2"/>
  <c r="Q14" i="2"/>
  <c r="Q13" i="2"/>
  <c r="AA11" i="2"/>
  <c r="W11" i="2"/>
  <c r="R11" i="2"/>
  <c r="X11" i="2"/>
  <c r="E63" i="1" l="1"/>
  <c r="C11" i="1"/>
  <c r="E37" i="1"/>
  <c r="E45" i="1"/>
  <c r="BZ16" i="1"/>
  <c r="CA16" i="1" s="1"/>
  <c r="CB21" i="1"/>
  <c r="CC21" i="1" s="1"/>
  <c r="BL19" i="1"/>
  <c r="BP18" i="1"/>
  <c r="BX21" i="1"/>
  <c r="BY21" i="1" s="1"/>
  <c r="BV21" i="1"/>
  <c r="BW21" i="1" s="1"/>
  <c r="BV15" i="1"/>
  <c r="BW15" i="1" s="1"/>
  <c r="BU15" i="1"/>
  <c r="BU16" i="1"/>
  <c r="CB16" i="1" s="1"/>
  <c r="CC16" i="1" s="1"/>
  <c r="BV16" i="1"/>
  <c r="BW16" i="1" s="1"/>
  <c r="BL18" i="1"/>
  <c r="E53" i="1"/>
  <c r="E61" i="1"/>
  <c r="M21" i="1"/>
  <c r="BZ21" i="1"/>
  <c r="CA21" i="1" s="1"/>
  <c r="C37" i="1"/>
  <c r="AZ19" i="1"/>
  <c r="BP19" i="1" s="1"/>
  <c r="CF62" i="1"/>
  <c r="CF79" i="1"/>
  <c r="CF83" i="1"/>
  <c r="AZ17" i="1"/>
  <c r="BP17" i="1" s="1"/>
  <c r="E48" i="1"/>
  <c r="E40" i="1"/>
  <c r="CF80" i="1"/>
  <c r="CF84" i="1"/>
  <c r="C23" i="1"/>
  <c r="E32" i="1"/>
  <c r="M24" i="1"/>
  <c r="CF61" i="1"/>
  <c r="CF78" i="1"/>
  <c r="CF81" i="1"/>
  <c r="H67" i="3"/>
  <c r="H65" i="3"/>
  <c r="H63" i="3"/>
  <c r="H55" i="3"/>
  <c r="H53" i="3"/>
  <c r="H51" i="3"/>
  <c r="H42" i="3"/>
  <c r="H40" i="3"/>
  <c r="H38" i="3"/>
  <c r="H25" i="3"/>
  <c r="BU17" i="1" l="1"/>
  <c r="BU19" i="1"/>
  <c r="CB15" i="1"/>
  <c r="CC15" i="1" s="1"/>
  <c r="BZ15" i="1"/>
  <c r="CA15" i="1" s="1"/>
  <c r="BX15" i="1"/>
  <c r="BY15" i="1" s="1"/>
  <c r="CD16" i="1"/>
  <c r="CD21" i="1"/>
  <c r="O13" i="2"/>
  <c r="BX16" i="1"/>
  <c r="BY16" i="1" s="1"/>
  <c r="BU18" i="1"/>
  <c r="I4" i="3"/>
  <c r="I5" i="3"/>
  <c r="H29" i="3"/>
  <c r="H27" i="3"/>
  <c r="G26" i="3"/>
  <c r="H26" i="3" s="1"/>
  <c r="CB18" i="1" l="1"/>
  <c r="CC18" i="1" s="1"/>
  <c r="BV18" i="1"/>
  <c r="BW18" i="1" s="1"/>
  <c r="BZ18" i="1"/>
  <c r="CA18" i="1" s="1"/>
  <c r="BX18" i="1"/>
  <c r="BY18" i="1" s="1"/>
  <c r="CB19" i="1"/>
  <c r="CC19" i="1" s="1"/>
  <c r="BV19" i="1"/>
  <c r="BW19" i="1" s="1"/>
  <c r="CD19" i="1" s="1"/>
  <c r="BZ19" i="1"/>
  <c r="CA19" i="1" s="1"/>
  <c r="CD15" i="1"/>
  <c r="CB17" i="1"/>
  <c r="CC17" i="1" s="1"/>
  <c r="CC27" i="1" s="1"/>
  <c r="B58" i="1" s="1"/>
  <c r="B61" i="1" s="1"/>
  <c r="A58" i="1" s="1"/>
  <c r="BX17" i="1"/>
  <c r="BY17" i="1" s="1"/>
  <c r="BY27" i="1" s="1"/>
  <c r="B42" i="1" s="1"/>
  <c r="BV17" i="1"/>
  <c r="BW17" i="1" s="1"/>
  <c r="BX19" i="1"/>
  <c r="BY19" i="1" s="1"/>
  <c r="BZ17" i="1"/>
  <c r="CA17" i="1" s="1"/>
  <c r="CA27" i="1" s="1"/>
  <c r="B50" i="1" s="1"/>
  <c r="J3" i="3"/>
  <c r="K3" i="3" s="1"/>
  <c r="G70" i="3"/>
  <c r="H70" i="3" s="1"/>
  <c r="G69" i="3"/>
  <c r="H69" i="3" s="1"/>
  <c r="G68" i="3"/>
  <c r="H68" i="3" s="1"/>
  <c r="G66" i="3"/>
  <c r="H66" i="3" s="1"/>
  <c r="G64" i="3"/>
  <c r="H64" i="3" s="1"/>
  <c r="G58" i="3"/>
  <c r="H58" i="3" s="1"/>
  <c r="G57" i="3"/>
  <c r="H57" i="3" s="1"/>
  <c r="G56" i="3"/>
  <c r="H56" i="3" s="1"/>
  <c r="G54" i="3"/>
  <c r="H54" i="3" s="1"/>
  <c r="G52" i="3"/>
  <c r="H52" i="3" s="1"/>
  <c r="G45" i="3"/>
  <c r="H45" i="3" s="1"/>
  <c r="G44" i="3"/>
  <c r="H44" i="3" s="1"/>
  <c r="G43" i="3"/>
  <c r="H43" i="3" s="1"/>
  <c r="G41" i="3"/>
  <c r="H41" i="3" s="1"/>
  <c r="G39" i="3"/>
  <c r="H39" i="3" s="1"/>
  <c r="G32" i="3"/>
  <c r="H32" i="3" s="1"/>
  <c r="G31" i="3"/>
  <c r="H31" i="3" s="1"/>
  <c r="G30" i="3"/>
  <c r="H30" i="3" s="1"/>
  <c r="G28" i="3"/>
  <c r="H28" i="3" s="1"/>
  <c r="I8" i="3"/>
  <c r="J4" i="3"/>
  <c r="K4" i="3" s="1"/>
  <c r="C6" i="3"/>
  <c r="H13" i="2"/>
  <c r="F13" i="2"/>
  <c r="H17" i="2"/>
  <c r="F17" i="2"/>
  <c r="G2" i="3"/>
  <c r="B45" i="1" l="1"/>
  <c r="A42" i="1" s="1"/>
  <c r="D45" i="1"/>
  <c r="F41" i="1" s="1"/>
  <c r="B53" i="1"/>
  <c r="D53" i="1"/>
  <c r="F49" i="1" s="1"/>
  <c r="CD18" i="1"/>
  <c r="CD17" i="1"/>
  <c r="BW27" i="1"/>
  <c r="F19" i="3"/>
  <c r="F15" i="3"/>
  <c r="F16" i="3"/>
  <c r="F17" i="3"/>
  <c r="F18" i="3"/>
  <c r="F14" i="3"/>
  <c r="K5" i="3"/>
  <c r="K8" i="3"/>
  <c r="B34" i="1" l="1"/>
  <c r="CD27" i="1"/>
  <c r="A50" i="1"/>
  <c r="D70" i="3"/>
  <c r="D69" i="3"/>
  <c r="D66" i="3"/>
  <c r="D27" i="3"/>
  <c r="D55" i="3"/>
  <c r="D53" i="3"/>
  <c r="D52" i="3"/>
  <c r="D45" i="3"/>
  <c r="D44" i="3"/>
  <c r="D43" i="3"/>
  <c r="D40" i="3"/>
  <c r="D39" i="3"/>
  <c r="D32" i="3"/>
  <c r="D30" i="3"/>
  <c r="D29" i="3"/>
  <c r="D28" i="3"/>
  <c r="D65" i="3"/>
  <c r="D26" i="3"/>
  <c r="D56" i="3"/>
  <c r="D54" i="3"/>
  <c r="D42" i="3"/>
  <c r="D41" i="3"/>
  <c r="D31" i="3"/>
  <c r="D68" i="3"/>
  <c r="D67" i="3"/>
  <c r="D64" i="3"/>
  <c r="D58" i="3"/>
  <c r="D57" i="3"/>
  <c r="D51" i="3"/>
  <c r="D38" i="3"/>
  <c r="D63" i="3"/>
  <c r="B37" i="1" l="1"/>
  <c r="D37" i="1"/>
  <c r="Y3" i="2"/>
  <c r="E7" i="2"/>
  <c r="E9" i="2" s="1"/>
  <c r="D7" i="2"/>
  <c r="D9" i="2" s="1"/>
  <c r="F34" i="1" l="1"/>
  <c r="A34" i="1"/>
  <c r="F40" i="1"/>
  <c r="E65" i="1"/>
  <c r="F56" i="1"/>
  <c r="E56" i="1"/>
  <c r="D61" i="1" s="1"/>
  <c r="F57" i="1" s="1"/>
  <c r="F48" i="1"/>
  <c r="E17" i="2"/>
  <c r="L26" i="2" l="1"/>
  <c r="J26" i="2"/>
  <c r="H26" i="2"/>
  <c r="F26" i="2"/>
  <c r="J25" i="2"/>
  <c r="L22" i="2"/>
  <c r="J22" i="2"/>
  <c r="H22" i="2"/>
  <c r="F22" i="2"/>
  <c r="J21" i="2"/>
  <c r="L18" i="2"/>
  <c r="J18" i="2"/>
  <c r="H18" i="2"/>
  <c r="F18" i="2"/>
  <c r="J17" i="2"/>
  <c r="L14" i="2"/>
  <c r="J14" i="2"/>
  <c r="H14" i="2"/>
  <c r="F14" i="2"/>
  <c r="J13" i="2"/>
  <c r="D8" i="2" l="1"/>
  <c r="C8" i="3" l="1"/>
  <c r="F7" i="3"/>
  <c r="G71" i="3" l="1"/>
  <c r="G59" i="3"/>
  <c r="G46" i="3" l="1"/>
  <c r="G33" i="3"/>
  <c r="F6" i="3" l="1"/>
  <c r="E7" i="3"/>
  <c r="E6" i="3"/>
  <c r="D7" i="3"/>
  <c r="D6" i="3"/>
  <c r="C7" i="3"/>
  <c r="C2" i="3" l="1"/>
  <c r="B2" i="3"/>
  <c r="F10" i="3" l="1"/>
  <c r="B63" i="3" s="1"/>
  <c r="E10" i="3"/>
  <c r="B51" i="3" s="1"/>
  <c r="D10" i="3"/>
  <c r="C10" i="3"/>
  <c r="B25" i="3" s="1"/>
  <c r="I67" i="3" l="1"/>
  <c r="I70" i="3"/>
  <c r="I65" i="3"/>
  <c r="AA15" i="2" s="1"/>
  <c r="I66" i="3"/>
  <c r="AA16" i="2" s="1"/>
  <c r="I69" i="3"/>
  <c r="I68" i="3"/>
  <c r="I55" i="3"/>
  <c r="I54" i="3"/>
  <c r="X16" i="2" s="1"/>
  <c r="I52" i="3"/>
  <c r="X14" i="2" s="1"/>
  <c r="I53" i="3"/>
  <c r="X15" i="2" s="1"/>
  <c r="G10" i="3"/>
  <c r="B38" i="3"/>
  <c r="I64" i="3"/>
  <c r="AA14" i="2" s="1"/>
  <c r="G22" i="2" l="1"/>
  <c r="X17" i="2"/>
  <c r="K26" i="2"/>
  <c r="AA19" i="2"/>
  <c r="M26" i="2"/>
  <c r="AA20" i="2"/>
  <c r="I26" i="2"/>
  <c r="AA18" i="2"/>
  <c r="G26" i="2"/>
  <c r="AA17" i="2"/>
  <c r="I40" i="3"/>
  <c r="U15" i="2" s="1"/>
  <c r="I28" i="3"/>
  <c r="R16" i="2" s="1"/>
  <c r="I29" i="3"/>
  <c r="I30" i="3"/>
  <c r="I32" i="3"/>
  <c r="I31" i="3"/>
  <c r="I38" i="3"/>
  <c r="U13" i="2" s="1"/>
  <c r="I41" i="3"/>
  <c r="U16" i="2" s="1"/>
  <c r="I42" i="3"/>
  <c r="I43" i="3"/>
  <c r="I44" i="3"/>
  <c r="I45" i="3"/>
  <c r="J64" i="3"/>
  <c r="J69" i="3"/>
  <c r="J68" i="3"/>
  <c r="J70" i="3"/>
  <c r="J66" i="3"/>
  <c r="J65" i="3"/>
  <c r="J67" i="3"/>
  <c r="I51" i="3"/>
  <c r="X13" i="2" s="1"/>
  <c r="J57" i="3"/>
  <c r="J58" i="3"/>
  <c r="J53" i="3"/>
  <c r="J55" i="3"/>
  <c r="J56" i="3"/>
  <c r="J54" i="3"/>
  <c r="H14" i="3"/>
  <c r="I56" i="3"/>
  <c r="H19" i="3"/>
  <c r="I58" i="3"/>
  <c r="H17" i="3"/>
  <c r="I63" i="3"/>
  <c r="AA13" i="2" s="1"/>
  <c r="I57" i="3"/>
  <c r="H18" i="3"/>
  <c r="I27" i="3"/>
  <c r="R15" i="2" s="1"/>
  <c r="I26" i="3"/>
  <c r="R14" i="2" s="1"/>
  <c r="H15" i="3"/>
  <c r="H16" i="3"/>
  <c r="M18" i="2" l="1"/>
  <c r="U20" i="2"/>
  <c r="K18" i="2"/>
  <c r="U19" i="2"/>
  <c r="I18" i="2"/>
  <c r="U18" i="2"/>
  <c r="K22" i="2"/>
  <c r="X19" i="2"/>
  <c r="I21" i="2"/>
  <c r="G21" i="2"/>
  <c r="G18" i="2"/>
  <c r="U17" i="2"/>
  <c r="K25" i="2"/>
  <c r="I25" i="2"/>
  <c r="G25" i="2"/>
  <c r="M22" i="2"/>
  <c r="X20" i="2"/>
  <c r="K14" i="2"/>
  <c r="R19" i="2"/>
  <c r="M14" i="2"/>
  <c r="R20" i="2"/>
  <c r="I22" i="2"/>
  <c r="X18" i="2"/>
  <c r="K21" i="2" s="1"/>
  <c r="I14" i="2"/>
  <c r="R18" i="2"/>
  <c r="G14" i="2"/>
  <c r="R17" i="2"/>
  <c r="J26" i="3"/>
  <c r="J43" i="3"/>
  <c r="J42" i="3"/>
  <c r="J39" i="3"/>
  <c r="J45" i="3"/>
  <c r="I39" i="3"/>
  <c r="U14" i="2" s="1"/>
  <c r="I17" i="2" s="1"/>
  <c r="J44" i="3"/>
  <c r="J41" i="3"/>
  <c r="J40" i="3"/>
  <c r="J28" i="3"/>
  <c r="J29" i="3"/>
  <c r="J30" i="3"/>
  <c r="J31" i="3"/>
  <c r="J32" i="3"/>
  <c r="J27" i="3"/>
  <c r="I25" i="3"/>
  <c r="R13" i="2" s="1"/>
  <c r="F20" i="3"/>
  <c r="B4" i="2"/>
  <c r="G17" i="2" l="1"/>
  <c r="I13" i="2"/>
  <c r="K13" i="2"/>
  <c r="G13" i="2"/>
  <c r="K17" i="2"/>
  <c r="I33" i="3"/>
  <c r="B31" i="3" s="1"/>
  <c r="H25" i="2" l="1"/>
  <c r="F25" i="2"/>
  <c r="H21" i="2"/>
  <c r="F21" i="2"/>
  <c r="I6" i="2" l="1"/>
  <c r="I4" i="2"/>
  <c r="E22" i="2" l="1"/>
  <c r="E21" i="2"/>
  <c r="F71" i="3"/>
  <c r="F59" i="3"/>
  <c r="F46" i="3"/>
  <c r="F33" i="3"/>
  <c r="E26" i="2" l="1"/>
  <c r="E18" i="2"/>
  <c r="E14" i="2"/>
  <c r="E25" i="2"/>
  <c r="E13" i="2"/>
  <c r="O17" i="2"/>
  <c r="O21" i="2" l="1"/>
  <c r="E8" i="3"/>
  <c r="E8" i="2" l="1"/>
  <c r="D8" i="3"/>
  <c r="D13" i="2" l="1"/>
  <c r="N13" i="2" s="1"/>
  <c r="D21" i="2" l="1"/>
  <c r="N21" i="2" s="1"/>
  <c r="O22" i="2" s="1"/>
  <c r="C9" i="3"/>
  <c r="D25" i="2"/>
  <c r="N25" i="2" s="1"/>
  <c r="F8" i="3" l="1"/>
  <c r="O25" i="2"/>
  <c r="D17" i="2"/>
  <c r="N17" i="2" s="1"/>
  <c r="O18" i="2" s="1"/>
  <c r="F9" i="3"/>
  <c r="E9" i="3"/>
  <c r="J25" i="3"/>
  <c r="H33" i="3"/>
  <c r="B30" i="3" s="1"/>
  <c r="J51" i="3" l="1"/>
  <c r="G17" i="3"/>
  <c r="G16" i="3"/>
  <c r="D9" i="3"/>
  <c r="G9" i="3" s="1"/>
  <c r="J63" i="3" l="1"/>
  <c r="J52" i="3"/>
  <c r="H59" i="3"/>
  <c r="H71" i="3"/>
  <c r="B68" i="3" s="1"/>
  <c r="I59" i="3" l="1"/>
  <c r="B57" i="3" s="1"/>
  <c r="B56" i="3"/>
  <c r="I71" i="3"/>
  <c r="B69" i="3" s="1"/>
  <c r="J38" i="3"/>
  <c r="I46" i="3" l="1"/>
  <c r="B44" i="3" s="1"/>
  <c r="G15" i="3"/>
  <c r="H46" i="3"/>
  <c r="B43" i="3" s="1"/>
  <c r="G19" i="3"/>
  <c r="G18" i="3"/>
  <c r="G14" i="3" l="1"/>
  <c r="O26" i="2" l="1"/>
  <c r="O14" i="2" l="1"/>
</calcChain>
</file>

<file path=xl/sharedStrings.xml><?xml version="1.0" encoding="utf-8"?>
<sst xmlns="http://schemas.openxmlformats.org/spreadsheetml/2006/main" count="457" uniqueCount="209">
  <si>
    <t> </t>
  </si>
  <si>
    <t>Employee Name:</t>
  </si>
  <si>
    <t>Department:</t>
  </si>
  <si>
    <t>Empl ID:</t>
  </si>
  <si>
    <t>Does this faculty member have an administrative appointment? Any of the following:</t>
  </si>
  <si>
    <t>Start</t>
  </si>
  <si>
    <t>End</t>
  </si>
  <si>
    <t>Working Days</t>
  </si>
  <si>
    <t>Yes</t>
  </si>
  <si>
    <r>
      <t>·</t>
    </r>
    <r>
      <rPr>
        <sz val="7"/>
        <rFont val="Arial"/>
        <family val="2"/>
      </rPr>
      <t xml:space="preserve">       </t>
    </r>
    <r>
      <rPr>
        <sz val="11"/>
        <rFont val="Arial"/>
        <family val="2"/>
      </rPr>
      <t>1428: Assoc Dean-Faculty</t>
    </r>
  </si>
  <si>
    <t>May</t>
  </si>
  <si>
    <t>Will this faculty member teach this summer?</t>
  </si>
  <si>
    <r>
      <t>·</t>
    </r>
    <r>
      <rPr>
        <sz val="7"/>
        <rFont val="Arial"/>
        <family val="2"/>
      </rPr>
      <t xml:space="preserve">       </t>
    </r>
    <r>
      <rPr>
        <sz val="11"/>
        <rFont val="Arial"/>
        <family val="2"/>
      </rPr>
      <t>1429: Asst Dean-Faculty</t>
    </r>
  </si>
  <si>
    <t>June</t>
  </si>
  <si>
    <t>No</t>
  </si>
  <si>
    <r>
      <t>·</t>
    </r>
    <r>
      <rPr>
        <sz val="7"/>
        <rFont val="Arial"/>
        <family val="2"/>
      </rPr>
      <t xml:space="preserve">       </t>
    </r>
    <r>
      <rPr>
        <sz val="11"/>
        <rFont val="Arial"/>
        <family val="2"/>
      </rPr>
      <t>1433: Director-Faculty</t>
    </r>
  </si>
  <si>
    <t>July</t>
  </si>
  <si>
    <t>(Make sure to use Institutional Based Salary, not Job Data)</t>
  </si>
  <si>
    <r>
      <t>·</t>
    </r>
    <r>
      <rPr>
        <sz val="7"/>
        <rFont val="Arial"/>
        <family val="2"/>
      </rPr>
      <t xml:space="preserve">       </t>
    </r>
    <r>
      <rPr>
        <sz val="11"/>
        <rFont val="Arial"/>
        <family val="2"/>
      </rPr>
      <t>1434: Assoc Director-Faculty</t>
    </r>
  </si>
  <si>
    <t>August</t>
  </si>
  <si>
    <t>(From HCM IBS Page)</t>
  </si>
  <si>
    <r>
      <t>·</t>
    </r>
    <r>
      <rPr>
        <sz val="7"/>
        <rFont val="Arial"/>
        <family val="2"/>
      </rPr>
      <t xml:space="preserve">       </t>
    </r>
    <r>
      <rPr>
        <sz val="11"/>
        <rFont val="Arial"/>
        <family val="2"/>
      </rPr>
      <t>1435: Chair</t>
    </r>
  </si>
  <si>
    <r>
      <t>·</t>
    </r>
    <r>
      <rPr>
        <sz val="7"/>
        <rFont val="Arial"/>
        <family val="2"/>
      </rPr>
      <t xml:space="preserve">       </t>
    </r>
    <r>
      <rPr>
        <sz val="11"/>
        <rFont val="Arial"/>
        <family val="2"/>
      </rPr>
      <t>1436: Assoc Chair</t>
    </r>
  </si>
  <si>
    <r>
      <t>·</t>
    </r>
    <r>
      <rPr>
        <sz val="7"/>
        <rFont val="Arial"/>
        <family val="2"/>
      </rPr>
      <t xml:space="preserve">       </t>
    </r>
    <r>
      <rPr>
        <sz val="11"/>
        <rFont val="Arial"/>
        <family val="2"/>
      </rPr>
      <t>1446: Director-Institute</t>
    </r>
  </si>
  <si>
    <t xml:space="preserve">July </t>
  </si>
  <si>
    <r>
      <t>·</t>
    </r>
    <r>
      <rPr>
        <sz val="7"/>
        <rFont val="Arial"/>
        <family val="2"/>
      </rPr>
      <t xml:space="preserve">       </t>
    </r>
    <r>
      <rPr>
        <sz val="11"/>
        <rFont val="Arial"/>
        <family val="2"/>
      </rPr>
      <t>1450: Endowed or Named Professor</t>
    </r>
  </si>
  <si>
    <t>PLEASE SELECT</t>
  </si>
  <si>
    <t>Do Not Delect or Change this information - spreadsheet will not work if information is changed or deleted</t>
  </si>
  <si>
    <t xml:space="preserve"> </t>
  </si>
  <si>
    <r>
      <t>·</t>
    </r>
    <r>
      <rPr>
        <sz val="7"/>
        <rFont val="Arial"/>
        <family val="2"/>
      </rPr>
      <t xml:space="preserve">       </t>
    </r>
    <r>
      <rPr>
        <sz val="11"/>
        <rFont val="Arial"/>
        <family val="2"/>
      </rPr>
      <t>1451: Endowed Chair</t>
    </r>
  </si>
  <si>
    <t>August Semester (eligible days)</t>
  </si>
  <si>
    <t>New</t>
  </si>
  <si>
    <t>Reduce May Compensation</t>
  </si>
  <si>
    <t>If Maymester extends into June, add the June dates below</t>
  </si>
  <si>
    <t>August days</t>
  </si>
  <si>
    <t>1st amendment</t>
  </si>
  <si>
    <t>Summer Teaching Payout</t>
  </si>
  <si>
    <t>Summer Teaching:</t>
  </si>
  <si>
    <t>2nd amendment</t>
  </si>
  <si>
    <t>Term</t>
  </si>
  <si>
    <t>may beg</t>
  </si>
  <si>
    <t>may end</t>
  </si>
  <si>
    <t># workdays</t>
  </si>
  <si>
    <t>june beg</t>
  </si>
  <si>
    <t>june end</t>
  </si>
  <si>
    <t>july beg</t>
  </si>
  <si>
    <t>july end</t>
  </si>
  <si>
    <t>aug beg</t>
  </si>
  <si>
    <t>aug end</t>
  </si>
  <si>
    <t>Session</t>
  </si>
  <si>
    <t xml:space="preserve">appt beg </t>
  </si>
  <si>
    <t>end of month</t>
  </si>
  <si>
    <t>% per month</t>
  </si>
  <si>
    <t>beg date</t>
  </si>
  <si>
    <t>end date</t>
  </si>
  <si>
    <t>% of month</t>
  </si>
  <si>
    <t>% month</t>
  </si>
  <si>
    <t>Total %</t>
  </si>
  <si>
    <t>May %</t>
  </si>
  <si>
    <t>May $</t>
  </si>
  <si>
    <t>June %</t>
  </si>
  <si>
    <t>June $</t>
  </si>
  <si>
    <t>July %</t>
  </si>
  <si>
    <t>July $</t>
  </si>
  <si>
    <t>Aug %</t>
  </si>
  <si>
    <t>Aug $</t>
  </si>
  <si>
    <t>Total $</t>
  </si>
  <si>
    <t>Beg Date</t>
  </si>
  <si>
    <t xml:space="preserve">End Date </t>
  </si>
  <si>
    <t>Salary</t>
  </si>
  <si>
    <t>3rd amendment</t>
  </si>
  <si>
    <t>M</t>
  </si>
  <si>
    <t>Maymester</t>
  </si>
  <si>
    <t xml:space="preserve">May  </t>
  </si>
  <si>
    <t>4th amendment</t>
  </si>
  <si>
    <t>A</t>
  </si>
  <si>
    <t xml:space="preserve">June </t>
  </si>
  <si>
    <t>5th amendment</t>
  </si>
  <si>
    <t>B</t>
  </si>
  <si>
    <t>C</t>
  </si>
  <si>
    <t>D</t>
  </si>
  <si>
    <t>May Monthly Limit</t>
  </si>
  <si>
    <t>Julymester</t>
  </si>
  <si>
    <t>Augmester</t>
  </si>
  <si>
    <t>G</t>
  </si>
  <si>
    <t>Aug</t>
  </si>
  <si>
    <t>E, F, G, Q</t>
  </si>
  <si>
    <t>3/9ths Limit (additional teaching):</t>
  </si>
  <si>
    <t>August limit</t>
  </si>
  <si>
    <t>1/9ths Limit  (additional teaching):</t>
  </si>
  <si>
    <t>August limit w increase</t>
  </si>
  <si>
    <t>Workdays</t>
  </si>
  <si>
    <t>Monthly Limit</t>
  </si>
  <si>
    <t>% Research May</t>
  </si>
  <si>
    <t>Teaching Salary</t>
  </si>
  <si>
    <t>Summer Research</t>
  </si>
  <si>
    <t>Vacation Days</t>
  </si>
  <si>
    <t>(Teaching Only)</t>
  </si>
  <si>
    <t>Total</t>
  </si>
  <si>
    <t>1/9th Limit</t>
  </si>
  <si>
    <t>Amount Remaining</t>
  </si>
  <si>
    <t>Additional Limit</t>
  </si>
  <si>
    <t>Additional Other</t>
  </si>
  <si>
    <t>% Research June</t>
  </si>
  <si>
    <t>% Research July</t>
  </si>
  <si>
    <t>1/9th Total Aug/May Salary</t>
  </si>
  <si>
    <t>% Research August</t>
  </si>
  <si>
    <t>DO NOT DELETE THIS INFORMATION</t>
  </si>
  <si>
    <r>
      <t xml:space="preserve">This sheet is for </t>
    </r>
    <r>
      <rPr>
        <b/>
        <u/>
        <sz val="18"/>
        <rFont val="Arial"/>
        <family val="2"/>
      </rPr>
      <t>research</t>
    </r>
    <r>
      <rPr>
        <sz val="18"/>
        <rFont val="Arial"/>
        <family val="2"/>
      </rPr>
      <t xml:space="preserve"> allocation only</t>
    </r>
  </si>
  <si>
    <t>Summer Compensation</t>
  </si>
  <si>
    <t>Data fed from Planning Sheet</t>
  </si>
  <si>
    <t>Totals</t>
  </si>
  <si>
    <t>Total Salary</t>
  </si>
  <si>
    <t>Research</t>
  </si>
  <si>
    <t>Budget Tracking (Optional)</t>
  </si>
  <si>
    <t>Speedtype</t>
  </si>
  <si>
    <t>Name</t>
  </si>
  <si>
    <t>Total Goal</t>
  </si>
  <si>
    <t>Current Amount</t>
  </si>
  <si>
    <t>Percentage of Goal</t>
  </si>
  <si>
    <t xml:space="preserve">Total Goal: </t>
  </si>
  <si>
    <t>Funding Distribution</t>
  </si>
  <si>
    <t>Salary Total</t>
  </si>
  <si>
    <t>Cumulative Amount</t>
  </si>
  <si>
    <t>Total:</t>
  </si>
  <si>
    <t>Must Equal 100%</t>
  </si>
  <si>
    <t>Name:</t>
  </si>
  <si>
    <t xml:space="preserve">     Rostered Department:</t>
  </si>
  <si>
    <t>(Research)</t>
  </si>
  <si>
    <t>Start AY Base 25-26</t>
  </si>
  <si>
    <t>Employee ID:</t>
  </si>
  <si>
    <t xml:space="preserve"> Institutional Based Salary:</t>
  </si>
  <si>
    <t>1/9th Monthly Salary Limit:</t>
  </si>
  <si>
    <t>New or Amended Edition:</t>
  </si>
  <si>
    <t>3/9ths CY Salary Limit:</t>
  </si>
  <si>
    <t>Proposed Summer Salary: ALL appointments from ALL campuses should be included.</t>
  </si>
  <si>
    <t>Month</t>
  </si>
  <si>
    <t xml:space="preserve">Begin </t>
  </si>
  <si>
    <t>Non-Research</t>
  </si>
  <si>
    <t>Project Speedtype</t>
  </si>
  <si>
    <t>% Funding</t>
  </si>
  <si>
    <t>Salary Limit</t>
  </si>
  <si>
    <t>Vacation Days:</t>
  </si>
  <si>
    <t>Over Salary Limit</t>
  </si>
  <si>
    <t>I have read and understand the Policy Statement on 3/9ths Summer Salary Limits for Faculty on 9-month Appointments located in the below link.</t>
  </si>
  <si>
    <t>Policy  Statment on 3/9th Summer Salary Limit</t>
  </si>
  <si>
    <t xml:space="preserve">I confirm that the planned vacation days listed above are correct. </t>
  </si>
  <si>
    <t>(If faculty member serves role of Chair or Director)</t>
  </si>
  <si>
    <t>Faculty Member signature:</t>
  </si>
  <si>
    <t>Date:</t>
  </si>
  <si>
    <t xml:space="preserve">  (required)</t>
  </si>
  <si>
    <t>Chair or Director signature:</t>
  </si>
  <si>
    <t>Dean Signature:</t>
  </si>
  <si>
    <t xml:space="preserve">(Required if summer salary compensation fund source fiscal authority is Dean's Office) </t>
  </si>
  <si>
    <t>(Required if the faculty member receiving compensation is the same individual as Chair/Director)</t>
  </si>
  <si>
    <t>25-26 Academic Year Faculty Salary:</t>
  </si>
  <si>
    <t>Is this faculty member receiving an increase (like retention, promotion) in summer 2026?</t>
  </si>
  <si>
    <t>Total 3/9ths CY26 Limit</t>
  </si>
  <si>
    <t>Total 3/9ths CY26 Salary</t>
  </si>
  <si>
    <t>Total 3/9ths CY26</t>
  </si>
  <si>
    <t>3/9ths Total CY26</t>
  </si>
  <si>
    <t>Calendar Year 2026</t>
  </si>
  <si>
    <t>August Semester (8 days)</t>
  </si>
  <si>
    <t>CY 26 3/9ths Research Limit:</t>
  </si>
  <si>
    <t>CY26 1/9ths Research Limit:</t>
  </si>
  <si>
    <t>AY Salary (5/1/26)</t>
  </si>
  <si>
    <t>By signing this document, I agree to submit my Summer Research Report by Oct. 31, 2026 on the Summer Research tab on FRPA.</t>
  </si>
  <si>
    <t>Yearly</t>
  </si>
  <si>
    <t>Monthly</t>
  </si>
  <si>
    <t>CY26 Faculty Summer Funding Worksheet</t>
  </si>
  <si>
    <t>25-26 AY Admin/Endowed Stipend/Salary:</t>
  </si>
  <si>
    <t>25-26 AY Total Insitutional Based Salary:</t>
  </si>
  <si>
    <t>CY26 3/9ths Limit (additional teaching):</t>
  </si>
  <si>
    <t>CY26 1/9ths Limit (additional teaching):</t>
  </si>
  <si>
    <t>26-27 3/9ths Final Research Limit:</t>
  </si>
  <si>
    <t>26-27 1/9ths Final Research Limit:</t>
  </si>
  <si>
    <t>NIH Salary Table</t>
  </si>
  <si>
    <t>July and Aug 26</t>
  </si>
  <si>
    <t>May and June FY26</t>
  </si>
  <si>
    <t>26-27 Academic Year Faculty Salary (eff. 7/1/26):</t>
  </si>
  <si>
    <t>26-27 AY Admin/Endowed Stipend Salary (eff. 7/1/26):</t>
  </si>
  <si>
    <t>26/27 AY Total Insitutional Based Salary (eff. 7/1/26):</t>
  </si>
  <si>
    <t>(Please only use if faculty are receiving an increase in summer 2026 - effective July 1)</t>
  </si>
  <si>
    <t>Salary Remaining to be Allocated</t>
  </si>
  <si>
    <r>
      <t>**</t>
    </r>
    <r>
      <rPr>
        <b/>
        <sz val="10"/>
        <color rgb="FFFF0000"/>
        <rFont val="Arial"/>
        <family val="2"/>
      </rPr>
      <t xml:space="preserve"> NOTE</t>
    </r>
    <r>
      <rPr>
        <sz val="10"/>
        <rFont val="Arial"/>
        <family val="2"/>
      </rPr>
      <t xml:space="preserve"> Workdays displayed are used to allocate allowable salary, </t>
    </r>
    <r>
      <rPr>
        <b/>
        <sz val="10"/>
        <rFont val="Arial"/>
        <family val="2"/>
      </rPr>
      <t>not</t>
    </r>
    <r>
      <rPr>
        <sz val="10"/>
        <rFont val="Arial"/>
        <family val="2"/>
      </rPr>
      <t xml:space="preserve"> to indicate expected effort</t>
    </r>
  </si>
  <si>
    <t>Percentage of Salary</t>
  </si>
  <si>
    <t>Amount of Salary</t>
  </si>
  <si>
    <t>[Enter Project Name]</t>
  </si>
  <si>
    <t>CU 12 Month Base Salary</t>
  </si>
  <si>
    <t>Final Percentage of Salary</t>
  </si>
  <si>
    <t>Fill in % or amount per Speedtype</t>
  </si>
  <si>
    <t>Funding Source</t>
  </si>
  <si>
    <t>NIH</t>
  </si>
  <si>
    <t>CUB</t>
  </si>
  <si>
    <t>Other</t>
  </si>
  <si>
    <t>Final Amount</t>
  </si>
  <si>
    <t xml:space="preserve">Does summer effort include NIH (includes ARPA-H) support? </t>
  </si>
  <si>
    <t>Table for Calculations</t>
  </si>
  <si>
    <t>SpeedType</t>
  </si>
  <si>
    <t>%</t>
  </si>
  <si>
    <t>Revision List</t>
  </si>
  <si>
    <t>Version</t>
  </si>
  <si>
    <t>Date</t>
  </si>
  <si>
    <t>Notes</t>
  </si>
  <si>
    <t>v1.0</t>
  </si>
  <si>
    <t>initial release</t>
  </si>
  <si>
    <t>v1.1</t>
  </si>
  <si>
    <t>v1.1 - Last Updated 6.11.26</t>
  </si>
  <si>
    <t>correction to August monthly limit, hiding of formulaic columns, updates to Funding Distribution tab and Summer Request Form for NIH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</si>
</sst>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000000"/>
    <numFmt numFmtId="167" formatCode="_(* #,##0_);_(* \(#,##0\);_(* &quot;-&quot;??_);_(@_)"/>
    <numFmt numFmtId="168" formatCode="mm/dd/yy"/>
    <numFmt numFmtId="169" formatCode="_(* #,##0.000_);_(* \(#,##0.000\);_(* &quot;-&quot;??_);_(@_)"/>
    <numFmt numFmtId="170" formatCode="mm/dd/yy;@"/>
    <numFmt numFmtId="171" formatCode="&quot;$&quot;#,##0.00"/>
    <numFmt numFmtId="172" formatCode="0.000%"/>
    <numFmt numFmtId="173" formatCode="_(&quot;$&quot;* #,##0.00000_);_(&quot;$&quot;* \(#,##0.00000\);_(&quot;$&quot;* &quot;-&quot;??_);_(@_)"/>
    <numFmt numFmtId="174" formatCode="_(* #,##0.0000_);_(* \(#,##0.0000\);_(* &quot;-&quot;??_);_(@_)"/>
    <numFmt numFmtId="175" formatCode="_(* #,##0.0000000_);_(* \(#,##0.0000000\);_(* &quot;-&quot;??_);_(@_)"/>
    <numFmt numFmtId="176" formatCode="_(&quot;$&quot;* #,##0.00_);_(&quot;$&quot;* \(#,##0.00\);_(&quot;$&quot;* &quot;-&quot;_);_(@_)"/>
  </numFmts>
  <fonts count="42" x14ac:knownFonts="1">
    <font>
      <sz val="10"/>
      <name val="Arial"/>
      <family val="2"/>
    </font>
    <font>
      <sz val="10"/>
      <name val="Arial"/>
      <family val="2"/>
    </font>
    <font>
      <b/>
      <sz val="10"/>
      <name val="Arial"/>
      <family val="2"/>
    </font>
    <font>
      <b/>
      <sz val="11"/>
      <name val="Arial"/>
      <family val="2"/>
    </font>
    <font>
      <b/>
      <sz val="8"/>
      <color rgb="FFFF0000"/>
      <name val="Arial"/>
      <family val="2"/>
    </font>
    <font>
      <b/>
      <sz val="10"/>
      <color rgb="FFFF0000"/>
      <name val="Arial"/>
      <family val="2"/>
    </font>
    <font>
      <b/>
      <sz val="13"/>
      <color rgb="FFFF0000"/>
      <name val="Arial"/>
      <family val="2"/>
    </font>
    <font>
      <b/>
      <sz val="14"/>
      <name val="Arial"/>
      <family val="2"/>
    </font>
    <font>
      <b/>
      <i/>
      <sz val="10"/>
      <name val="Arial"/>
      <family val="2"/>
    </font>
    <font>
      <b/>
      <i/>
      <sz val="11"/>
      <name val="Arial"/>
      <family val="2"/>
    </font>
    <font>
      <sz val="10"/>
      <color theme="1"/>
      <name val="Arial"/>
      <family val="2"/>
    </font>
    <font>
      <b/>
      <sz val="12"/>
      <color rgb="FFFF0000"/>
      <name val="Arial"/>
      <family val="2"/>
    </font>
    <font>
      <b/>
      <sz val="12"/>
      <name val="Arial"/>
      <family val="2"/>
    </font>
    <font>
      <b/>
      <sz val="10"/>
      <color theme="1"/>
      <name val="Arial"/>
      <family val="2"/>
    </font>
    <font>
      <b/>
      <sz val="12"/>
      <color theme="1"/>
      <name val="Arial"/>
      <family val="2"/>
    </font>
    <font>
      <sz val="11"/>
      <name val="Arial"/>
      <family val="2"/>
    </font>
    <font>
      <i/>
      <sz val="10"/>
      <name val="Arial"/>
      <family val="2"/>
    </font>
    <font>
      <b/>
      <sz val="9"/>
      <color theme="1"/>
      <name val="Arial"/>
      <family val="2"/>
    </font>
    <font>
      <u/>
      <sz val="10"/>
      <color theme="10"/>
      <name val="Arial"/>
      <family val="2"/>
    </font>
    <font>
      <sz val="7"/>
      <name val="Arial"/>
      <family val="2"/>
    </font>
    <font>
      <sz val="18"/>
      <name val="Arial"/>
      <family val="2"/>
    </font>
    <font>
      <b/>
      <u/>
      <sz val="18"/>
      <name val="Arial"/>
      <family val="2"/>
    </font>
    <font>
      <i/>
      <sz val="8"/>
      <name val="Arial"/>
      <family val="2"/>
    </font>
    <font>
      <b/>
      <sz val="10"/>
      <color theme="9" tint="0.39997558519241921"/>
      <name val="Arial"/>
      <family val="2"/>
    </font>
    <font>
      <sz val="10"/>
      <color theme="9" tint="0.39997558519241921"/>
      <name val="Arial"/>
      <family val="2"/>
    </font>
    <font>
      <b/>
      <sz val="9"/>
      <name val="Arial"/>
      <family val="2"/>
    </font>
    <font>
      <sz val="9"/>
      <name val="Arial"/>
      <family val="2"/>
    </font>
    <font>
      <b/>
      <i/>
      <sz val="9"/>
      <color rgb="FFFF0000"/>
      <name val="Arial"/>
      <family val="2"/>
    </font>
    <font>
      <b/>
      <i/>
      <sz val="9"/>
      <color theme="1"/>
      <name val="Arial"/>
      <family val="2"/>
    </font>
    <font>
      <sz val="9"/>
      <color theme="1"/>
      <name val="Arial"/>
      <family val="2"/>
    </font>
    <font>
      <u/>
      <sz val="9"/>
      <color theme="1"/>
      <name val="Arial"/>
      <family val="2"/>
    </font>
    <font>
      <sz val="9"/>
      <color rgb="FFFF0000"/>
      <name val="Arial"/>
      <family val="2"/>
    </font>
    <font>
      <sz val="9"/>
      <color rgb="FFC00000"/>
      <name val="Arial"/>
      <family val="2"/>
    </font>
    <font>
      <sz val="13.5"/>
      <color rgb="FF000000"/>
      <name val="Times New Roman"/>
      <family val="1"/>
    </font>
    <font>
      <b/>
      <sz val="10"/>
      <color theme="0"/>
      <name val="Arial"/>
      <family val="2"/>
    </font>
    <font>
      <b/>
      <sz val="8"/>
      <color theme="1"/>
      <name val="Arial"/>
      <family val="2"/>
    </font>
    <font>
      <sz val="10"/>
      <color theme="0"/>
      <name val="Arial"/>
      <family val="2"/>
    </font>
    <font>
      <b/>
      <i/>
      <sz val="10"/>
      <color theme="0" tint="-0.499984740745262"/>
      <name val="Arial"/>
      <family val="2"/>
    </font>
    <font>
      <i/>
      <sz val="10"/>
      <color theme="1"/>
      <name val="Arial"/>
      <family val="2"/>
    </font>
    <font>
      <b/>
      <i/>
      <sz val="9"/>
      <color theme="0" tint="-0.499984740745262"/>
      <name val="Arial"/>
      <family val="2"/>
    </font>
    <font>
      <i/>
      <sz val="10"/>
      <color theme="0" tint="-0.499984740745262"/>
      <name val="Arial"/>
      <family val="2"/>
    </font>
    <font>
      <i/>
      <sz val="9"/>
      <color theme="0" tint="-0.499984740745262"/>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top/>
      <bottom style="medium">
        <color theme="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dashed">
        <color indexed="64"/>
      </left>
      <right style="dashed">
        <color indexed="64"/>
      </right>
      <top style="dashed">
        <color indexed="64"/>
      </top>
      <bottom style="dashed">
        <color indexed="64"/>
      </bottom>
      <diagonal/>
    </border>
  </borders>
  <cellStyleXfs count="6">
    <xf numFmtId="0" fontId="0" fillId="0" borderId="0"/>
    <xf numFmtId="44" fontId="1" fillId="0" borderId="0" applyFont="0" applyFill="0" applyBorder="0" applyAlignment="0" applyProtection="0"/>
    <xf numFmtId="0" fontId="10" fillId="0" borderId="0"/>
    <xf numFmtId="44" fontId="10"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513">
    <xf numFmtId="0" fontId="0" fillId="0" borderId="0" xfId="0"/>
    <xf numFmtId="0" fontId="2" fillId="0" borderId="0" xfId="0" applyFont="1"/>
    <xf numFmtId="0" fontId="2" fillId="0" borderId="0" xfId="0" applyFont="1" applyAlignment="1">
      <alignment horizontal="right"/>
    </xf>
    <xf numFmtId="1" fontId="2" fillId="2" borderId="1" xfId="0" applyNumberFormat="1" applyFont="1" applyFill="1" applyBorder="1" applyAlignment="1" applyProtection="1">
      <alignment horizontal="center"/>
      <protection locked="0"/>
    </xf>
    <xf numFmtId="1" fontId="2" fillId="0" borderId="0" xfId="0" applyNumberFormat="1" applyFont="1" applyAlignment="1">
      <alignment horizontal="center"/>
    </xf>
    <xf numFmtId="0" fontId="0" fillId="0" borderId="0" xfId="0" applyAlignment="1">
      <alignment horizontal="right"/>
    </xf>
    <xf numFmtId="0" fontId="2" fillId="0" borderId="0" xfId="0" applyFont="1" applyAlignment="1">
      <alignment horizontal="left"/>
    </xf>
    <xf numFmtId="0" fontId="4" fillId="0" borderId="0" xfId="0" applyFont="1"/>
    <xf numFmtId="0" fontId="1" fillId="0" borderId="0" xfId="0" applyFont="1"/>
    <xf numFmtId="0" fontId="5" fillId="0" borderId="3" xfId="0" applyFont="1" applyBorder="1"/>
    <xf numFmtId="0" fontId="2" fillId="0" borderId="3" xfId="0" applyFont="1" applyBorder="1"/>
    <xf numFmtId="0" fontId="2" fillId="0" borderId="4" xfId="0" applyFont="1" applyBorder="1"/>
    <xf numFmtId="0" fontId="1" fillId="0" borderId="0" xfId="0" applyFont="1" applyAlignment="1">
      <alignment horizontal="center"/>
    </xf>
    <xf numFmtId="0" fontId="5" fillId="0" borderId="0" xfId="0" applyFont="1"/>
    <xf numFmtId="0" fontId="2" fillId="0" borderId="6" xfId="0" applyFont="1" applyBorder="1"/>
    <xf numFmtId="0" fontId="0" fillId="0" borderId="5" xfId="0" applyBorder="1"/>
    <xf numFmtId="0" fontId="0" fillId="0" borderId="6" xfId="0" applyBorder="1"/>
    <xf numFmtId="0" fontId="2" fillId="0" borderId="5" xfId="0" applyFont="1" applyBorder="1"/>
    <xf numFmtId="0" fontId="2" fillId="0" borderId="0" xfId="0" applyFont="1" applyAlignment="1">
      <alignment horizontal="center"/>
    </xf>
    <xf numFmtId="0" fontId="2" fillId="3"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2" fillId="0" borderId="6" xfId="0" applyFont="1" applyBorder="1" applyAlignment="1">
      <alignment horizontal="center"/>
    </xf>
    <xf numFmtId="14" fontId="1" fillId="0" borderId="9" xfId="0" applyNumberFormat="1" applyFont="1" applyBorder="1" applyAlignment="1">
      <alignment horizontal="center"/>
    </xf>
    <xf numFmtId="164" fontId="1" fillId="2" borderId="9" xfId="1" applyNumberFormat="1" applyFont="1" applyFill="1" applyBorder="1" applyAlignment="1" applyProtection="1">
      <alignment horizontal="left"/>
      <protection locked="0"/>
    </xf>
    <xf numFmtId="0" fontId="2" fillId="0" borderId="5" xfId="0" applyFont="1" applyBorder="1" applyAlignment="1">
      <alignment horizontal="center"/>
    </xf>
    <xf numFmtId="15" fontId="2" fillId="3" borderId="0" xfId="0" applyNumberFormat="1" applyFont="1" applyFill="1" applyAlignment="1">
      <alignment horizontal="center"/>
    </xf>
    <xf numFmtId="0" fontId="2" fillId="3" borderId="0" xfId="0" applyFont="1" applyFill="1" applyAlignment="1">
      <alignment horizontal="center"/>
    </xf>
    <xf numFmtId="15" fontId="2" fillId="4" borderId="0" xfId="0" applyNumberFormat="1" applyFont="1" applyFill="1" applyAlignment="1">
      <alignment horizontal="center"/>
    </xf>
    <xf numFmtId="0" fontId="2" fillId="4" borderId="0" xfId="0" applyFont="1" applyFill="1" applyAlignment="1">
      <alignment horizontal="center"/>
    </xf>
    <xf numFmtId="15" fontId="2" fillId="5" borderId="0" xfId="0" applyNumberFormat="1" applyFont="1" applyFill="1" applyAlignment="1">
      <alignment horizontal="center"/>
    </xf>
    <xf numFmtId="0" fontId="2" fillId="5" borderId="0" xfId="0" applyFont="1" applyFill="1" applyAlignment="1">
      <alignment horizontal="center"/>
    </xf>
    <xf numFmtId="15" fontId="2" fillId="6" borderId="0" xfId="0" applyNumberFormat="1" applyFont="1" applyFill="1" applyAlignment="1">
      <alignment horizontal="center"/>
    </xf>
    <xf numFmtId="0" fontId="2" fillId="6" borderId="0" xfId="0" applyFont="1" applyFill="1" applyAlignment="1">
      <alignment horizontal="center"/>
    </xf>
    <xf numFmtId="14" fontId="2" fillId="3" borderId="0" xfId="0" applyNumberFormat="1" applyFont="1" applyFill="1" applyAlignment="1">
      <alignment horizontal="center"/>
    </xf>
    <xf numFmtId="165" fontId="2" fillId="3" borderId="0" xfId="0" applyNumberFormat="1" applyFont="1" applyFill="1" applyAlignment="1">
      <alignment horizontal="center"/>
    </xf>
    <xf numFmtId="14" fontId="2" fillId="4" borderId="0" xfId="0" applyNumberFormat="1" applyFont="1" applyFill="1" applyAlignment="1">
      <alignment horizontal="center"/>
    </xf>
    <xf numFmtId="165" fontId="2" fillId="4" borderId="0" xfId="0" applyNumberFormat="1" applyFont="1" applyFill="1" applyAlignment="1">
      <alignment horizontal="center"/>
    </xf>
    <xf numFmtId="14" fontId="2" fillId="5" borderId="0" xfId="0" applyNumberFormat="1" applyFont="1" applyFill="1" applyAlignment="1">
      <alignment horizontal="center"/>
    </xf>
    <xf numFmtId="0" fontId="0" fillId="3" borderId="0" xfId="0" applyFill="1"/>
    <xf numFmtId="44" fontId="0" fillId="3" borderId="0" xfId="0" applyNumberFormat="1" applyFill="1"/>
    <xf numFmtId="0" fontId="0" fillId="4" borderId="0" xfId="0" applyFill="1"/>
    <xf numFmtId="44" fontId="0" fillId="4" borderId="0" xfId="0" applyNumberFormat="1" applyFill="1"/>
    <xf numFmtId="0" fontId="0" fillId="5" borderId="0" xfId="0" applyFill="1"/>
    <xf numFmtId="0" fontId="0" fillId="6" borderId="0" xfId="0" applyFill="1"/>
    <xf numFmtId="44" fontId="0" fillId="0" borderId="6" xfId="0" applyNumberFormat="1" applyBorder="1"/>
    <xf numFmtId="14" fontId="1" fillId="0" borderId="10" xfId="0" applyNumberFormat="1" applyFont="1" applyBorder="1" applyAlignment="1">
      <alignment horizontal="center"/>
    </xf>
    <xf numFmtId="44" fontId="0" fillId="5" borderId="0" xfId="0" applyNumberFormat="1" applyFill="1"/>
    <xf numFmtId="14" fontId="2" fillId="6" borderId="0" xfId="0" applyNumberFormat="1" applyFont="1" applyFill="1" applyAlignment="1">
      <alignment horizontal="center"/>
    </xf>
    <xf numFmtId="44" fontId="0" fillId="6" borderId="0" xfId="0" applyNumberFormat="1" applyFill="1"/>
    <xf numFmtId="1" fontId="2" fillId="0" borderId="0" xfId="0" applyNumberFormat="1" applyFont="1" applyAlignment="1">
      <alignment horizontal="left" indent="2"/>
    </xf>
    <xf numFmtId="0" fontId="2" fillId="0" borderId="5" xfId="0" applyFont="1" applyBorder="1" applyAlignment="1">
      <alignment horizontal="left"/>
    </xf>
    <xf numFmtId="14" fontId="1" fillId="0" borderId="12" xfId="0" applyNumberFormat="1" applyFont="1" applyBorder="1" applyAlignment="1">
      <alignment horizontal="center"/>
    </xf>
    <xf numFmtId="1" fontId="2" fillId="0" borderId="0" xfId="0" applyNumberFormat="1" applyFont="1" applyAlignment="1">
      <alignment horizontal="left"/>
    </xf>
    <xf numFmtId="0" fontId="1" fillId="0" borderId="5" xfId="0" applyFont="1" applyBorder="1"/>
    <xf numFmtId="165" fontId="2" fillId="0" borderId="0" xfId="0" applyNumberFormat="1" applyFont="1" applyAlignment="1">
      <alignment horizontal="center"/>
    </xf>
    <xf numFmtId="0" fontId="2" fillId="0" borderId="0" xfId="0" applyFont="1" applyAlignment="1">
      <alignment horizontal="center" wrapText="1"/>
    </xf>
    <xf numFmtId="15" fontId="2" fillId="0" borderId="0" xfId="0" applyNumberFormat="1" applyFont="1"/>
    <xf numFmtId="14" fontId="2" fillId="0" borderId="0" xfId="0" applyNumberFormat="1" applyFont="1" applyAlignment="1">
      <alignment horizontal="center" wrapText="1"/>
    </xf>
    <xf numFmtId="14" fontId="2" fillId="0" borderId="0" xfId="0" applyNumberFormat="1" applyFont="1"/>
    <xf numFmtId="164" fontId="2" fillId="0" borderId="0" xfId="0" applyNumberFormat="1" applyFont="1" applyAlignment="1">
      <alignment horizontal="right"/>
    </xf>
    <xf numFmtId="0" fontId="1" fillId="0" borderId="0" xfId="0" applyFont="1" applyAlignment="1">
      <alignment vertical="top"/>
    </xf>
    <xf numFmtId="43" fontId="0" fillId="0" borderId="0" xfId="0" applyNumberFormat="1"/>
    <xf numFmtId="0" fontId="0" fillId="0" borderId="0" xfId="0" applyAlignment="1">
      <alignment horizontal="center"/>
    </xf>
    <xf numFmtId="0" fontId="0" fillId="0" borderId="11" xfId="0" applyBorder="1"/>
    <xf numFmtId="0" fontId="0" fillId="0" borderId="1" xfId="0" applyBorder="1"/>
    <xf numFmtId="0" fontId="1" fillId="0" borderId="0" xfId="0" applyFont="1" applyAlignment="1">
      <alignment horizontal="right"/>
    </xf>
    <xf numFmtId="1" fontId="1" fillId="0" borderId="0" xfId="0" applyNumberFormat="1" applyFont="1" applyAlignment="1">
      <alignment horizontal="center"/>
    </xf>
    <xf numFmtId="164" fontId="2" fillId="0" borderId="0" xfId="1" applyNumberFormat="1" applyFont="1" applyBorder="1" applyAlignment="1" applyProtection="1">
      <alignment shrinkToFit="1"/>
    </xf>
    <xf numFmtId="164" fontId="2" fillId="0" borderId="0" xfId="0" applyNumberFormat="1" applyFont="1"/>
    <xf numFmtId="14" fontId="0" fillId="0" borderId="0" xfId="0" applyNumberFormat="1"/>
    <xf numFmtId="2" fontId="0" fillId="0" borderId="0" xfId="0" applyNumberFormat="1"/>
    <xf numFmtId="15" fontId="0" fillId="0" borderId="0" xfId="0" applyNumberFormat="1" applyAlignment="1">
      <alignment vertical="center"/>
    </xf>
    <xf numFmtId="43" fontId="2" fillId="0" borderId="0" xfId="0" applyNumberFormat="1" applyFont="1" applyAlignment="1">
      <alignment horizontal="center" vertical="center" wrapText="1"/>
    </xf>
    <xf numFmtId="0" fontId="7" fillId="8" borderId="0" xfId="0" applyFont="1" applyFill="1"/>
    <xf numFmtId="43" fontId="2" fillId="8" borderId="0" xfId="0" applyNumberFormat="1" applyFont="1" applyFill="1" applyAlignment="1">
      <alignment horizontal="center" vertical="center" wrapText="1"/>
    </xf>
    <xf numFmtId="0" fontId="0" fillId="8" borderId="0" xfId="0" applyFill="1"/>
    <xf numFmtId="43" fontId="0" fillId="0" borderId="0" xfId="0" applyNumberFormat="1" applyAlignment="1">
      <alignment vertical="center" shrinkToFit="1"/>
    </xf>
    <xf numFmtId="43" fontId="0" fillId="0" borderId="0" xfId="0" applyNumberFormat="1" applyAlignment="1">
      <alignment vertical="center"/>
    </xf>
    <xf numFmtId="43" fontId="0" fillId="8" borderId="0" xfId="0" applyNumberFormat="1" applyFill="1" applyAlignment="1">
      <alignment horizontal="center" vertical="center"/>
    </xf>
    <xf numFmtId="1" fontId="0" fillId="8" borderId="0" xfId="0" applyNumberFormat="1" applyFill="1" applyAlignment="1">
      <alignment horizontal="center"/>
    </xf>
    <xf numFmtId="0" fontId="0" fillId="8" borderId="0" xfId="0" applyFill="1" applyAlignment="1">
      <alignment horizontal="center"/>
    </xf>
    <xf numFmtId="43" fontId="2" fillId="0" borderId="0" xfId="0" applyNumberFormat="1" applyFont="1"/>
    <xf numFmtId="43" fontId="2" fillId="0" borderId="0" xfId="0" applyNumberFormat="1" applyFont="1" applyAlignment="1">
      <alignment shrinkToFit="1"/>
    </xf>
    <xf numFmtId="0" fontId="2" fillId="0" borderId="0" xfId="0" applyFont="1" applyAlignment="1">
      <alignment horizontal="left" indent="1"/>
    </xf>
    <xf numFmtId="14" fontId="8" fillId="0" borderId="0" xfId="0" applyNumberFormat="1" applyFont="1" applyAlignment="1">
      <alignment horizontal="center"/>
    </xf>
    <xf numFmtId="2" fontId="2" fillId="0" borderId="0" xfId="0" applyNumberFormat="1" applyFont="1"/>
    <xf numFmtId="14" fontId="0" fillId="8" borderId="0" xfId="0" applyNumberFormat="1" applyFill="1" applyAlignment="1">
      <alignment horizontal="center"/>
    </xf>
    <xf numFmtId="14" fontId="9" fillId="0" borderId="0" xfId="0" applyNumberFormat="1" applyFont="1" applyAlignment="1">
      <alignment horizontal="center"/>
    </xf>
    <xf numFmtId="0" fontId="10" fillId="0" borderId="0" xfId="2"/>
    <xf numFmtId="0" fontId="10" fillId="0" borderId="0" xfId="2" applyAlignment="1">
      <alignment horizontal="center"/>
    </xf>
    <xf numFmtId="170" fontId="10" fillId="0" borderId="0" xfId="2" applyNumberFormat="1"/>
    <xf numFmtId="0" fontId="13" fillId="0" borderId="0" xfId="2" applyFont="1" applyAlignment="1">
      <alignment horizontal="center" wrapText="1"/>
    </xf>
    <xf numFmtId="0" fontId="14" fillId="0" borderId="0" xfId="2" applyFont="1"/>
    <xf numFmtId="44" fontId="0" fillId="0" borderId="0" xfId="0" applyNumberFormat="1"/>
    <xf numFmtId="0" fontId="12" fillId="0" borderId="0" xfId="0" applyFont="1" applyAlignment="1">
      <alignment horizontal="right"/>
    </xf>
    <xf numFmtId="14" fontId="1" fillId="0" borderId="0" xfId="0" applyNumberFormat="1" applyFont="1" applyAlignment="1">
      <alignment horizontal="center"/>
    </xf>
    <xf numFmtId="14" fontId="0" fillId="0" borderId="0" xfId="0" applyNumberFormat="1" applyAlignment="1">
      <alignment horizontal="center"/>
    </xf>
    <xf numFmtId="14" fontId="2" fillId="0" borderId="0" xfId="0" applyNumberFormat="1" applyFont="1" applyAlignment="1">
      <alignment horizontal="center"/>
    </xf>
    <xf numFmtId="37" fontId="1" fillId="0" borderId="0" xfId="1" applyNumberFormat="1" applyFont="1" applyFill="1" applyBorder="1" applyAlignment="1" applyProtection="1">
      <alignment horizontal="center"/>
      <protection locked="0"/>
    </xf>
    <xf numFmtId="0" fontId="2" fillId="0" borderId="0" xfId="0" applyFont="1" applyAlignment="1">
      <alignment horizontal="right" wrapText="1"/>
    </xf>
    <xf numFmtId="43" fontId="2" fillId="0" borderId="0" xfId="0" applyNumberFormat="1" applyFont="1" applyAlignment="1">
      <alignment horizontal="center" wrapText="1"/>
    </xf>
    <xf numFmtId="167" fontId="1" fillId="0" borderId="0" xfId="0" applyNumberFormat="1" applyFont="1"/>
    <xf numFmtId="167" fontId="2" fillId="0" borderId="0" xfId="0" applyNumberFormat="1" applyFont="1"/>
    <xf numFmtId="12" fontId="2" fillId="0" borderId="0" xfId="0" applyNumberFormat="1" applyFont="1" applyAlignment="1">
      <alignment horizontal="left"/>
    </xf>
    <xf numFmtId="164" fontId="1" fillId="0" borderId="0" xfId="1" applyNumberFormat="1" applyFont="1" applyFill="1" applyBorder="1" applyAlignment="1" applyProtection="1">
      <alignment horizontal="right"/>
      <protection locked="0"/>
    </xf>
    <xf numFmtId="43" fontId="2" fillId="0" borderId="0" xfId="0" applyNumberFormat="1" applyFont="1" applyAlignment="1">
      <alignment horizontal="right"/>
    </xf>
    <xf numFmtId="164" fontId="1" fillId="0" borderId="0" xfId="1" applyNumberFormat="1" applyFont="1" applyFill="1" applyBorder="1" applyAlignment="1" applyProtection="1">
      <alignment horizontal="right" vertical="center"/>
      <protection locked="0"/>
    </xf>
    <xf numFmtId="164" fontId="0" fillId="0" borderId="0" xfId="1" applyNumberFormat="1" applyFont="1" applyFill="1" applyBorder="1" applyAlignment="1" applyProtection="1">
      <alignment horizontal="right" vertical="center"/>
      <protection locked="0"/>
    </xf>
    <xf numFmtId="167" fontId="2" fillId="0" borderId="0" xfId="0" applyNumberFormat="1" applyFont="1" applyAlignment="1">
      <alignment horizontal="right"/>
    </xf>
    <xf numFmtId="164" fontId="2" fillId="0" borderId="0" xfId="1" applyNumberFormat="1" applyFont="1" applyFill="1" applyBorder="1" applyAlignment="1" applyProtection="1">
      <alignment shrinkToFit="1"/>
    </xf>
    <xf numFmtId="164" fontId="2" fillId="0" borderId="0" xfId="1" applyNumberFormat="1" applyFont="1" applyFill="1" applyBorder="1" applyProtection="1"/>
    <xf numFmtId="167" fontId="2" fillId="0" borderId="0" xfId="0" applyNumberFormat="1" applyFont="1" applyAlignment="1">
      <alignment horizontal="left"/>
    </xf>
    <xf numFmtId="0" fontId="0" fillId="0" borderId="0" xfId="0" applyAlignment="1">
      <alignment horizontal="left"/>
    </xf>
    <xf numFmtId="14" fontId="0" fillId="0" borderId="0" xfId="0" applyNumberFormat="1" applyAlignment="1">
      <alignment horizontal="right"/>
    </xf>
    <xf numFmtId="164" fontId="0" fillId="4" borderId="0" xfId="0" applyNumberFormat="1" applyFill="1"/>
    <xf numFmtId="0" fontId="0" fillId="0" borderId="18" xfId="0" applyBorder="1"/>
    <xf numFmtId="0" fontId="2" fillId="0" borderId="19" xfId="0" applyFont="1" applyBorder="1" applyAlignment="1">
      <alignment horizontal="center"/>
    </xf>
    <xf numFmtId="0" fontId="0" fillId="0" borderId="20" xfId="0" applyBorder="1"/>
    <xf numFmtId="14" fontId="2" fillId="0" borderId="19" xfId="0" applyNumberFormat="1" applyFont="1" applyBorder="1" applyAlignment="1">
      <alignment horizontal="center"/>
    </xf>
    <xf numFmtId="164" fontId="2" fillId="0" borderId="20" xfId="1" applyNumberFormat="1" applyFont="1" applyFill="1" applyBorder="1" applyAlignment="1" applyProtection="1">
      <alignment horizontal="center"/>
      <protection locked="0"/>
    </xf>
    <xf numFmtId="43" fontId="2" fillId="0" borderId="0" xfId="0" applyNumberFormat="1" applyFont="1" applyAlignment="1">
      <alignment horizontal="center" shrinkToFit="1"/>
    </xf>
    <xf numFmtId="14" fontId="2" fillId="0" borderId="0" xfId="0" applyNumberFormat="1" applyFont="1" applyAlignment="1" applyProtection="1">
      <alignment horizontal="center"/>
      <protection locked="0"/>
    </xf>
    <xf numFmtId="1" fontId="0" fillId="0" borderId="0" xfId="0" applyNumberFormat="1"/>
    <xf numFmtId="0" fontId="2" fillId="0" borderId="0" xfId="0" applyFont="1" applyAlignment="1">
      <alignment horizontal="center" vertical="center" wrapText="1"/>
    </xf>
    <xf numFmtId="15" fontId="0" fillId="0" borderId="0" xfId="0" applyNumberFormat="1" applyAlignment="1">
      <alignment horizontal="left" vertical="center" wrapText="1"/>
    </xf>
    <xf numFmtId="168"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xf>
    <xf numFmtId="43" fontId="0" fillId="0" borderId="0" xfId="0" applyNumberFormat="1" applyAlignment="1">
      <alignment horizontal="center" vertical="center"/>
    </xf>
    <xf numFmtId="15" fontId="0" fillId="0" borderId="0" xfId="0" applyNumberFormat="1" applyAlignment="1">
      <alignment horizontal="left" vertical="center"/>
    </xf>
    <xf numFmtId="17" fontId="0" fillId="0" borderId="0" xfId="0" applyNumberForma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 fontId="2" fillId="0" borderId="0" xfId="0" applyNumberFormat="1" applyFont="1"/>
    <xf numFmtId="43" fontId="0" fillId="0" borderId="0" xfId="0" applyNumberFormat="1" applyAlignment="1">
      <alignment horizontal="center" vertical="center" shrinkToFit="1"/>
    </xf>
    <xf numFmtId="169" fontId="0" fillId="0" borderId="0" xfId="0" applyNumberFormat="1" applyAlignment="1">
      <alignment horizontal="center" vertical="center"/>
    </xf>
    <xf numFmtId="7" fontId="2" fillId="0" borderId="0" xfId="0" applyNumberFormat="1" applyFont="1"/>
    <xf numFmtId="0" fontId="2" fillId="0" borderId="21" xfId="0" applyFont="1" applyBorder="1" applyAlignment="1">
      <alignment horizontal="center"/>
    </xf>
    <xf numFmtId="0" fontId="2" fillId="0" borderId="22" xfId="0" applyFont="1" applyBorder="1"/>
    <xf numFmtId="14" fontId="1" fillId="0" borderId="22" xfId="0" applyNumberFormat="1" applyFont="1" applyBorder="1" applyAlignment="1">
      <alignment horizontal="right"/>
    </xf>
    <xf numFmtId="0" fontId="2" fillId="0" borderId="23" xfId="0" applyFont="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left"/>
    </xf>
    <xf numFmtId="0" fontId="1" fillId="0" borderId="23" xfId="0" applyFont="1" applyBorder="1"/>
    <xf numFmtId="0" fontId="2" fillId="0" borderId="21" xfId="0" applyFont="1" applyBorder="1"/>
    <xf numFmtId="0" fontId="0" fillId="0" borderId="22" xfId="0" applyBorder="1"/>
    <xf numFmtId="5" fontId="2" fillId="0" borderId="22" xfId="1" applyNumberFormat="1" applyFont="1" applyFill="1" applyBorder="1" applyAlignment="1" applyProtection="1">
      <alignment horizontal="center" shrinkToFit="1"/>
      <protection locked="0"/>
    </xf>
    <xf numFmtId="44" fontId="0" fillId="0" borderId="22" xfId="0" applyNumberFormat="1" applyBorder="1"/>
    <xf numFmtId="0" fontId="11" fillId="0" borderId="0" xfId="0" applyFont="1" applyAlignment="1">
      <alignment horizontal="center"/>
    </xf>
    <xf numFmtId="164" fontId="1" fillId="0" borderId="0" xfId="1" applyNumberFormat="1" applyFont="1" applyFill="1" applyBorder="1" applyAlignment="1" applyProtection="1">
      <alignment horizontal="center"/>
      <protection locked="0"/>
    </xf>
    <xf numFmtId="14" fontId="1" fillId="0" borderId="22" xfId="0" applyNumberFormat="1" applyFont="1" applyBorder="1" applyAlignment="1">
      <alignment horizontal="center"/>
    </xf>
    <xf numFmtId="1" fontId="0" fillId="0" borderId="0" xfId="0" applyNumberFormat="1" applyAlignment="1">
      <alignment horizontal="center"/>
    </xf>
    <xf numFmtId="15" fontId="0" fillId="0" borderId="0" xfId="0" applyNumberFormat="1" applyAlignment="1">
      <alignment horizontal="center" vertical="center"/>
    </xf>
    <xf numFmtId="43" fontId="0" fillId="0" borderId="0" xfId="0" applyNumberFormat="1" applyAlignment="1">
      <alignment horizontal="center"/>
    </xf>
    <xf numFmtId="0" fontId="2" fillId="0" borderId="22" xfId="0" applyFont="1" applyBorder="1" applyAlignment="1">
      <alignment horizontal="center"/>
    </xf>
    <xf numFmtId="0" fontId="3" fillId="2" borderId="1" xfId="0" applyFont="1" applyFill="1" applyBorder="1" applyProtection="1">
      <protection locked="0"/>
    </xf>
    <xf numFmtId="0" fontId="3" fillId="0" borderId="0" xfId="0" applyFont="1" applyProtection="1">
      <protection locked="0"/>
    </xf>
    <xf numFmtId="14" fontId="1" fillId="0" borderId="0" xfId="1" applyNumberFormat="1" applyFont="1" applyFill="1" applyBorder="1" applyAlignment="1" applyProtection="1">
      <alignment horizontal="center"/>
      <protection locked="0"/>
    </xf>
    <xf numFmtId="14" fontId="2" fillId="0" borderId="29" xfId="0" applyNumberFormat="1" applyFont="1" applyBorder="1" applyAlignment="1">
      <alignment horizontal="center"/>
    </xf>
    <xf numFmtId="44" fontId="1" fillId="0" borderId="0" xfId="1" applyFont="1" applyFill="1" applyBorder="1" applyAlignment="1" applyProtection="1">
      <alignment horizontal="center"/>
      <protection locked="0"/>
    </xf>
    <xf numFmtId="44" fontId="0" fillId="0" borderId="0" xfId="0" applyNumberFormat="1" applyAlignment="1">
      <alignment horizontal="center"/>
    </xf>
    <xf numFmtId="0" fontId="15" fillId="0" borderId="0" xfId="0" applyFont="1"/>
    <xf numFmtId="0" fontId="3" fillId="0" borderId="0" xfId="0" applyFont="1" applyAlignment="1" applyProtection="1">
      <alignment horizontal="right"/>
      <protection locked="0"/>
    </xf>
    <xf numFmtId="0" fontId="16" fillId="0" borderId="0" xfId="0" applyFont="1"/>
    <xf numFmtId="171" fontId="2" fillId="0" borderId="21" xfId="0" applyNumberFormat="1" applyFont="1" applyBorder="1" applyAlignment="1">
      <alignment horizontal="center"/>
    </xf>
    <xf numFmtId="171" fontId="0" fillId="0" borderId="22" xfId="0" applyNumberFormat="1" applyBorder="1" applyAlignment="1">
      <alignment horizontal="center"/>
    </xf>
    <xf numFmtId="171" fontId="1" fillId="0" borderId="22" xfId="0" applyNumberFormat="1" applyFont="1" applyBorder="1" applyAlignment="1">
      <alignment horizontal="center"/>
    </xf>
    <xf numFmtId="171" fontId="1" fillId="0" borderId="23" xfId="1" applyNumberFormat="1" applyFont="1" applyFill="1" applyBorder="1" applyAlignment="1" applyProtection="1">
      <alignment horizontal="center"/>
    </xf>
    <xf numFmtId="0" fontId="2" fillId="10" borderId="7" xfId="0" applyFont="1" applyFill="1" applyBorder="1"/>
    <xf numFmtId="0" fontId="0" fillId="10" borderId="8" xfId="0" applyFill="1" applyBorder="1" applyAlignment="1">
      <alignment horizontal="right"/>
    </xf>
    <xf numFmtId="0" fontId="2" fillId="10" borderId="9" xfId="0" applyFont="1" applyFill="1" applyBorder="1" applyAlignment="1">
      <alignment horizontal="center"/>
    </xf>
    <xf numFmtId="0" fontId="2" fillId="10" borderId="0" xfId="0" applyFont="1" applyFill="1" applyAlignment="1">
      <alignment horizontal="right"/>
    </xf>
    <xf numFmtId="14" fontId="2" fillId="10" borderId="1" xfId="0" applyNumberFormat="1" applyFont="1" applyFill="1" applyBorder="1" applyAlignment="1">
      <alignment horizontal="center"/>
    </xf>
    <xf numFmtId="164" fontId="2" fillId="10" borderId="1" xfId="1" applyNumberFormat="1" applyFont="1" applyFill="1" applyBorder="1" applyAlignment="1" applyProtection="1">
      <alignment horizontal="center"/>
      <protection locked="0"/>
    </xf>
    <xf numFmtId="0" fontId="2" fillId="10" borderId="1" xfId="0" applyFont="1" applyFill="1" applyBorder="1" applyAlignment="1">
      <alignment horizontal="center"/>
    </xf>
    <xf numFmtId="0" fontId="3" fillId="10" borderId="0" xfId="0" applyFont="1" applyFill="1"/>
    <xf numFmtId="0" fontId="0" fillId="10" borderId="0" xfId="0" applyFill="1"/>
    <xf numFmtId="0" fontId="0" fillId="2" borderId="0" xfId="0" applyFill="1"/>
    <xf numFmtId="0" fontId="0" fillId="2" borderId="22" xfId="0" applyFill="1" applyBorder="1"/>
    <xf numFmtId="0" fontId="2" fillId="0" borderId="19" xfId="0" applyFont="1" applyBorder="1"/>
    <xf numFmtId="164" fontId="8" fillId="0" borderId="0" xfId="1" applyNumberFormat="1" applyFont="1" applyFill="1" applyBorder="1" applyAlignment="1" applyProtection="1">
      <protection locked="0"/>
    </xf>
    <xf numFmtId="0" fontId="0" fillId="0" borderId="17" xfId="0" applyBorder="1"/>
    <xf numFmtId="0" fontId="0" fillId="0" borderId="19" xfId="0" applyBorder="1"/>
    <xf numFmtId="171" fontId="2" fillId="10" borderId="30" xfId="0" applyNumberFormat="1" applyFont="1" applyFill="1" applyBorder="1"/>
    <xf numFmtId="0" fontId="17" fillId="10" borderId="8" xfId="2" applyFont="1" applyFill="1" applyBorder="1" applyAlignment="1">
      <alignment horizontal="center"/>
    </xf>
    <xf numFmtId="0" fontId="17" fillId="10" borderId="25" xfId="2" applyFont="1" applyFill="1" applyBorder="1" applyAlignment="1">
      <alignment horizontal="center"/>
    </xf>
    <xf numFmtId="0" fontId="17" fillId="0" borderId="0" xfId="2" applyFont="1" applyAlignment="1">
      <alignment horizontal="center"/>
    </xf>
    <xf numFmtId="0" fontId="2" fillId="0" borderId="10" xfId="0" applyFont="1" applyBorder="1" applyAlignment="1">
      <alignment horizontal="center"/>
    </xf>
    <xf numFmtId="0" fontId="2" fillId="10" borderId="22" xfId="0" applyFont="1" applyFill="1" applyBorder="1" applyAlignment="1">
      <alignment horizontal="center"/>
    </xf>
    <xf numFmtId="14" fontId="2" fillId="0" borderId="22" xfId="0" applyNumberFormat="1" applyFont="1" applyBorder="1" applyAlignment="1">
      <alignment horizontal="center"/>
    </xf>
    <xf numFmtId="164" fontId="2" fillId="0" borderId="22" xfId="1" applyNumberFormat="1" applyFont="1" applyFill="1" applyBorder="1" applyAlignment="1" applyProtection="1">
      <alignment horizontal="center"/>
      <protection locked="0"/>
    </xf>
    <xf numFmtId="0" fontId="2" fillId="0" borderId="9" xfId="0" applyFont="1" applyBorder="1" applyAlignment="1">
      <alignment horizontal="center"/>
    </xf>
    <xf numFmtId="0" fontId="15" fillId="0" borderId="0" xfId="0" applyFont="1" applyAlignment="1">
      <alignment vertical="center"/>
    </xf>
    <xf numFmtId="1" fontId="2" fillId="0" borderId="0" xfId="0" applyNumberFormat="1" applyFont="1" applyProtection="1">
      <protection locked="0"/>
    </xf>
    <xf numFmtId="0" fontId="2" fillId="0" borderId="20" xfId="0" applyFont="1" applyBorder="1"/>
    <xf numFmtId="164" fontId="2" fillId="0" borderId="0" xfId="1" applyNumberFormat="1" applyFont="1" applyFill="1" applyBorder="1" applyAlignment="1" applyProtection="1">
      <alignment horizontal="center"/>
      <protection locked="0"/>
    </xf>
    <xf numFmtId="14" fontId="2" fillId="0" borderId="34" xfId="0" applyNumberFormat="1" applyFont="1" applyBorder="1" applyAlignment="1">
      <alignment horizontal="center"/>
    </xf>
    <xf numFmtId="0" fontId="2" fillId="10" borderId="16" xfId="0" applyFont="1" applyFill="1" applyBorder="1" applyAlignment="1">
      <alignment horizontal="center"/>
    </xf>
    <xf numFmtId="44" fontId="2" fillId="0" borderId="34" xfId="0" applyNumberFormat="1" applyFont="1" applyBorder="1" applyAlignment="1">
      <alignment horizontal="center"/>
    </xf>
    <xf numFmtId="44" fontId="1" fillId="0" borderId="0" xfId="1" applyFont="1" applyFill="1" applyBorder="1" applyAlignment="1" applyProtection="1">
      <alignment horizontal="center"/>
    </xf>
    <xf numFmtId="44" fontId="0" fillId="2" borderId="21" xfId="0" applyNumberFormat="1" applyFill="1" applyBorder="1" applyAlignment="1">
      <alignment horizontal="center"/>
    </xf>
    <xf numFmtId="44" fontId="1" fillId="0" borderId="0" xfId="0" applyNumberFormat="1" applyFont="1" applyAlignment="1">
      <alignment horizontal="center"/>
    </xf>
    <xf numFmtId="44" fontId="1" fillId="2" borderId="35" xfId="0" applyNumberFormat="1" applyFont="1" applyFill="1" applyBorder="1" applyAlignment="1">
      <alignment horizontal="center"/>
    </xf>
    <xf numFmtId="44" fontId="1" fillId="0" borderId="18" xfId="0" applyNumberFormat="1" applyFont="1" applyBorder="1" applyAlignment="1">
      <alignment horizontal="center"/>
    </xf>
    <xf numFmtId="44" fontId="1" fillId="2" borderId="33" xfId="0" applyNumberFormat="1" applyFont="1" applyFill="1" applyBorder="1" applyAlignment="1">
      <alignment horizontal="center"/>
    </xf>
    <xf numFmtId="44" fontId="2" fillId="0" borderId="34" xfId="0" applyNumberFormat="1" applyFont="1" applyBorder="1" applyAlignment="1">
      <alignment horizontal="center" wrapText="1"/>
    </xf>
    <xf numFmtId="0" fontId="2" fillId="10" borderId="33" xfId="0" applyFont="1" applyFill="1" applyBorder="1" applyAlignment="1">
      <alignment horizontal="center"/>
    </xf>
    <xf numFmtId="14" fontId="2" fillId="10" borderId="34" xfId="0" applyNumberFormat="1" applyFont="1" applyFill="1" applyBorder="1" applyAlignment="1">
      <alignment horizontal="center"/>
    </xf>
    <xf numFmtId="0" fontId="2" fillId="10" borderId="34" xfId="0" applyFont="1" applyFill="1" applyBorder="1" applyAlignment="1">
      <alignment horizontal="center"/>
    </xf>
    <xf numFmtId="0" fontId="2" fillId="10" borderId="37" xfId="0" applyFont="1" applyFill="1" applyBorder="1" applyAlignment="1">
      <alignment horizontal="center"/>
    </xf>
    <xf numFmtId="0" fontId="2" fillId="10" borderId="34" xfId="0" applyFont="1" applyFill="1" applyBorder="1" applyAlignment="1">
      <alignment horizontal="center" wrapText="1"/>
    </xf>
    <xf numFmtId="0" fontId="2" fillId="10" borderId="37" xfId="0" applyFont="1" applyFill="1" applyBorder="1"/>
    <xf numFmtId="44" fontId="0" fillId="0" borderId="37" xfId="0" applyNumberFormat="1" applyBorder="1" applyAlignment="1">
      <alignment horizontal="center"/>
    </xf>
    <xf numFmtId="171" fontId="2" fillId="0" borderId="23" xfId="0" applyNumberFormat="1" applyFont="1" applyBorder="1" applyAlignment="1">
      <alignment horizontal="center"/>
    </xf>
    <xf numFmtId="44" fontId="0" fillId="2" borderId="35" xfId="0" applyNumberFormat="1" applyFill="1" applyBorder="1"/>
    <xf numFmtId="44" fontId="0" fillId="0" borderId="5" xfId="0" applyNumberFormat="1" applyBorder="1"/>
    <xf numFmtId="44" fontId="2" fillId="0" borderId="33" xfId="0" applyNumberFormat="1" applyFont="1" applyBorder="1"/>
    <xf numFmtId="44" fontId="2" fillId="0" borderId="37" xfId="0" applyNumberFormat="1" applyFont="1" applyBorder="1" applyAlignment="1">
      <alignment horizontal="center"/>
    </xf>
    <xf numFmtId="49" fontId="2" fillId="10" borderId="16" xfId="0" applyNumberFormat="1" applyFont="1" applyFill="1" applyBorder="1" applyAlignment="1">
      <alignment horizontal="center"/>
    </xf>
    <xf numFmtId="0" fontId="2" fillId="11" borderId="9" xfId="0" applyFont="1" applyFill="1" applyBorder="1"/>
    <xf numFmtId="0" fontId="2" fillId="11" borderId="10" xfId="0" applyFont="1" applyFill="1" applyBorder="1" applyAlignment="1">
      <alignment horizontal="center"/>
    </xf>
    <xf numFmtId="0" fontId="2" fillId="11" borderId="12" xfId="0" applyFont="1" applyFill="1" applyBorder="1" applyAlignment="1">
      <alignment horizontal="center"/>
    </xf>
    <xf numFmtId="37" fontId="2" fillId="0" borderId="20" xfId="1" applyNumberFormat="1" applyFont="1" applyFill="1" applyBorder="1" applyAlignment="1" applyProtection="1">
      <alignment horizontal="center"/>
      <protection locked="0"/>
    </xf>
    <xf numFmtId="171" fontId="0" fillId="2" borderId="0" xfId="0" applyNumberFormat="1" applyFill="1"/>
    <xf numFmtId="171" fontId="0" fillId="2" borderId="22" xfId="0" applyNumberFormat="1" applyFill="1" applyBorder="1"/>
    <xf numFmtId="171" fontId="0" fillId="0" borderId="0" xfId="0" applyNumberFormat="1"/>
    <xf numFmtId="0" fontId="0" fillId="10" borderId="12" xfId="0" applyFill="1" applyBorder="1" applyAlignment="1">
      <alignment horizontal="center"/>
    </xf>
    <xf numFmtId="172" fontId="0" fillId="0" borderId="0" xfId="0" applyNumberFormat="1"/>
    <xf numFmtId="172" fontId="0" fillId="0" borderId="22" xfId="0" applyNumberFormat="1" applyBorder="1"/>
    <xf numFmtId="172" fontId="0" fillId="0" borderId="10" xfId="0" applyNumberFormat="1" applyBorder="1"/>
    <xf numFmtId="44" fontId="0" fillId="0" borderId="1" xfId="0" applyNumberFormat="1" applyBorder="1"/>
    <xf numFmtId="172" fontId="0" fillId="2" borderId="0" xfId="0" applyNumberFormat="1" applyFill="1"/>
    <xf numFmtId="172" fontId="0" fillId="2" borderId="22" xfId="0" applyNumberFormat="1" applyFill="1" applyBorder="1"/>
    <xf numFmtId="171" fontId="2" fillId="0" borderId="20" xfId="1" applyNumberFormat="1" applyFont="1" applyFill="1" applyBorder="1" applyAlignment="1" applyProtection="1">
      <alignment horizontal="center"/>
    </xf>
    <xf numFmtId="44" fontId="2" fillId="0" borderId="38" xfId="0" applyNumberFormat="1" applyFont="1" applyBorder="1" applyAlignment="1">
      <alignment horizontal="left"/>
    </xf>
    <xf numFmtId="44" fontId="2" fillId="0" borderId="39" xfId="0" applyNumberFormat="1" applyFont="1" applyBorder="1" applyAlignment="1">
      <alignment horizontal="left"/>
    </xf>
    <xf numFmtId="0" fontId="17" fillId="10" borderId="0" xfId="2" applyFont="1" applyFill="1" applyAlignment="1">
      <alignment horizontal="center"/>
    </xf>
    <xf numFmtId="43" fontId="1" fillId="0" borderId="0" xfId="0" applyNumberFormat="1" applyFont="1"/>
    <xf numFmtId="2" fontId="1" fillId="0" borderId="0" xfId="0" applyNumberFormat="1" applyFont="1"/>
    <xf numFmtId="0" fontId="6" fillId="0" borderId="0" xfId="0" applyFont="1"/>
    <xf numFmtId="0" fontId="2" fillId="0" borderId="2" xfId="0" applyFont="1" applyBorder="1"/>
    <xf numFmtId="44" fontId="0" fillId="0" borderId="14" xfId="0" applyNumberFormat="1" applyBorder="1"/>
    <xf numFmtId="164" fontId="2" fillId="0" borderId="0" xfId="0" applyNumberFormat="1" applyFont="1" applyAlignment="1">
      <alignment horizontal="center"/>
    </xf>
    <xf numFmtId="44" fontId="2" fillId="0" borderId="0" xfId="0" applyNumberFormat="1" applyFont="1" applyAlignment="1">
      <alignment horizontal="center"/>
    </xf>
    <xf numFmtId="173" fontId="0" fillId="0" borderId="0" xfId="0" applyNumberFormat="1"/>
    <xf numFmtId="44" fontId="2" fillId="0" borderId="20" xfId="0" applyNumberFormat="1" applyFont="1" applyBorder="1" applyAlignment="1">
      <alignment horizontal="center" wrapText="1"/>
    </xf>
    <xf numFmtId="44" fontId="3" fillId="0" borderId="0" xfId="0" applyNumberFormat="1" applyFont="1" applyAlignment="1" applyProtection="1">
      <alignment horizontal="right"/>
      <protection locked="0"/>
    </xf>
    <xf numFmtId="175" fontId="2" fillId="0" borderId="0" xfId="0" applyNumberFormat="1" applyFont="1"/>
    <xf numFmtId="167" fontId="0" fillId="0" borderId="0" xfId="0" applyNumberFormat="1"/>
    <xf numFmtId="174" fontId="2" fillId="0" borderId="0" xfId="0" applyNumberFormat="1" applyFont="1" applyAlignment="1">
      <alignment horizontal="right"/>
    </xf>
    <xf numFmtId="43" fontId="0" fillId="0" borderId="0" xfId="0" applyNumberFormat="1" applyAlignment="1">
      <alignment horizontal="right"/>
    </xf>
    <xf numFmtId="44" fontId="1" fillId="0" borderId="0" xfId="1" applyFont="1" applyFill="1" applyBorder="1" applyAlignment="1" applyProtection="1">
      <alignment horizontal="right"/>
      <protection locked="0"/>
    </xf>
    <xf numFmtId="44" fontId="2" fillId="0" borderId="0" xfId="0" applyNumberFormat="1" applyFont="1"/>
    <xf numFmtId="44" fontId="0" fillId="0" borderId="0" xfId="1" applyFont="1" applyFill="1" applyBorder="1" applyAlignment="1" applyProtection="1">
      <alignment horizontal="right"/>
      <protection locked="0"/>
    </xf>
    <xf numFmtId="174" fontId="0" fillId="0" borderId="0" xfId="0" applyNumberFormat="1"/>
    <xf numFmtId="2" fontId="1" fillId="0" borderId="34" xfId="0" applyNumberFormat="1" applyFont="1" applyBorder="1" applyAlignment="1">
      <alignment horizontal="center"/>
    </xf>
    <xf numFmtId="44" fontId="2" fillId="0" borderId="0" xfId="0" applyNumberFormat="1" applyFont="1" applyAlignment="1">
      <alignment horizontal="left"/>
    </xf>
    <xf numFmtId="2" fontId="1" fillId="0" borderId="0" xfId="1" applyNumberFormat="1" applyFont="1" applyFill="1" applyBorder="1" applyAlignment="1" applyProtection="1">
      <alignment horizontal="right"/>
      <protection locked="0"/>
    </xf>
    <xf numFmtId="2" fontId="0" fillId="0" borderId="0" xfId="1" applyNumberFormat="1" applyFont="1" applyFill="1" applyBorder="1" applyAlignment="1" applyProtection="1">
      <alignment horizontal="right" vertical="center"/>
      <protection locked="0"/>
    </xf>
    <xf numFmtId="44" fontId="0" fillId="0" borderId="0" xfId="0" applyNumberFormat="1" applyAlignment="1">
      <alignment horizontal="center" vertical="center" wrapText="1"/>
    </xf>
    <xf numFmtId="2" fontId="1" fillId="0" borderId="0" xfId="0" applyNumberFormat="1" applyFont="1" applyAlignment="1">
      <alignment horizontal="center"/>
    </xf>
    <xf numFmtId="39" fontId="1" fillId="2" borderId="35" xfId="1" applyNumberFormat="1" applyFont="1" applyFill="1" applyBorder="1" applyAlignment="1" applyProtection="1">
      <alignment horizontal="center"/>
      <protection locked="0"/>
    </xf>
    <xf numFmtId="0" fontId="0" fillId="0" borderId="21" xfId="0" applyBorder="1"/>
    <xf numFmtId="44" fontId="2" fillId="2" borderId="8" xfId="1" applyFont="1" applyFill="1" applyBorder="1" applyAlignment="1" applyProtection="1">
      <alignment horizontal="right"/>
      <protection locked="0"/>
    </xf>
    <xf numFmtId="44" fontId="0" fillId="2" borderId="30" xfId="0" applyNumberFormat="1" applyFill="1" applyBorder="1" applyAlignment="1">
      <alignment horizontal="center"/>
    </xf>
    <xf numFmtId="176" fontId="2" fillId="2" borderId="0" xfId="1" applyNumberFormat="1" applyFont="1" applyFill="1" applyBorder="1" applyAlignment="1" applyProtection="1">
      <alignment horizontal="right"/>
    </xf>
    <xf numFmtId="10" fontId="0" fillId="0" borderId="0" xfId="5" applyNumberFormat="1" applyFont="1" applyProtection="1"/>
    <xf numFmtId="44" fontId="0" fillId="0" borderId="0" xfId="0" applyNumberFormat="1" applyAlignment="1">
      <alignment horizontal="right"/>
    </xf>
    <xf numFmtId="44" fontId="2" fillId="0" borderId="0" xfId="1" applyFont="1" applyFill="1" applyBorder="1" applyAlignment="1" applyProtection="1">
      <alignment horizontal="right"/>
      <protection locked="0"/>
    </xf>
    <xf numFmtId="10" fontId="1" fillId="0" borderId="35" xfId="5" applyNumberFormat="1" applyFont="1" applyFill="1" applyBorder="1" applyAlignment="1" applyProtection="1">
      <alignment horizontal="center"/>
    </xf>
    <xf numFmtId="43" fontId="2" fillId="0" borderId="0" xfId="0" applyNumberFormat="1" applyFont="1" applyAlignment="1">
      <alignment horizontal="center" vertical="center"/>
    </xf>
    <xf numFmtId="49" fontId="0" fillId="0" borderId="0" xfId="0" applyNumberFormat="1"/>
    <xf numFmtId="44" fontId="1" fillId="0" borderId="0" xfId="0" applyNumberFormat="1" applyFont="1"/>
    <xf numFmtId="44" fontId="1" fillId="0" borderId="0" xfId="1" applyFont="1" applyFill="1" applyBorder="1" applyProtection="1"/>
    <xf numFmtId="169" fontId="2" fillId="0" borderId="0" xfId="0" applyNumberFormat="1" applyFont="1"/>
    <xf numFmtId="164" fontId="1" fillId="0" borderId="0" xfId="1" applyNumberFormat="1" applyFont="1" applyFill="1" applyBorder="1" applyAlignment="1" applyProtection="1">
      <alignment horizontal="left"/>
    </xf>
    <xf numFmtId="0" fontId="2" fillId="0" borderId="12" xfId="0" applyFont="1" applyBorder="1" applyAlignment="1">
      <alignment horizontal="center"/>
    </xf>
    <xf numFmtId="164" fontId="1" fillId="2" borderId="13" xfId="1"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left"/>
      <protection locked="0"/>
    </xf>
    <xf numFmtId="176" fontId="2" fillId="0" borderId="0" xfId="1" applyNumberFormat="1" applyFont="1" applyFill="1" applyBorder="1" applyAlignment="1" applyProtection="1">
      <alignment horizontal="right"/>
    </xf>
    <xf numFmtId="44" fontId="2" fillId="0" borderId="8" xfId="1" applyFont="1" applyFill="1" applyBorder="1" applyAlignment="1" applyProtection="1">
      <alignment horizontal="right"/>
    </xf>
    <xf numFmtId="44" fontId="2" fillId="0" borderId="0" xfId="1" applyFont="1" applyFill="1" applyBorder="1" applyAlignment="1" applyProtection="1">
      <alignment horizontal="right"/>
    </xf>
    <xf numFmtId="0" fontId="16" fillId="0" borderId="0" xfId="0" applyFont="1" applyAlignment="1">
      <alignment horizontal="center" vertical="center" wrapText="1"/>
    </xf>
    <xf numFmtId="0" fontId="23" fillId="0" borderId="5" xfId="0" applyFont="1" applyBorder="1" applyAlignment="1">
      <alignment horizontal="center"/>
    </xf>
    <xf numFmtId="0" fontId="24" fillId="0" borderId="0" xfId="0" applyFont="1"/>
    <xf numFmtId="15" fontId="23" fillId="3" borderId="0" xfId="0" applyNumberFormat="1" applyFont="1" applyFill="1" applyAlignment="1">
      <alignment horizontal="center"/>
    </xf>
    <xf numFmtId="0" fontId="23" fillId="3" borderId="0" xfId="0" applyFont="1" applyFill="1" applyAlignment="1">
      <alignment horizontal="center"/>
    </xf>
    <xf numFmtId="15" fontId="23" fillId="4" borderId="0" xfId="0" applyNumberFormat="1" applyFont="1" applyFill="1" applyAlignment="1">
      <alignment horizontal="center"/>
    </xf>
    <xf numFmtId="0" fontId="23" fillId="4" borderId="0" xfId="0" applyFont="1" applyFill="1" applyAlignment="1">
      <alignment horizontal="center"/>
    </xf>
    <xf numFmtId="15" fontId="23" fillId="5" borderId="0" xfId="0" applyNumberFormat="1" applyFont="1" applyFill="1" applyAlignment="1">
      <alignment horizontal="center"/>
    </xf>
    <xf numFmtId="0" fontId="23" fillId="5" borderId="0" xfId="0" applyFont="1" applyFill="1" applyAlignment="1">
      <alignment horizontal="center"/>
    </xf>
    <xf numFmtId="15" fontId="23" fillId="6" borderId="0" xfId="0" applyNumberFormat="1" applyFont="1" applyFill="1" applyAlignment="1">
      <alignment horizontal="center"/>
    </xf>
    <xf numFmtId="0" fontId="23" fillId="11" borderId="10" xfId="0" applyFont="1" applyFill="1" applyBorder="1" applyAlignment="1">
      <alignment horizontal="center"/>
    </xf>
    <xf numFmtId="14" fontId="23" fillId="3" borderId="0" xfId="0" applyNumberFormat="1" applyFont="1" applyFill="1" applyAlignment="1">
      <alignment horizontal="center"/>
    </xf>
    <xf numFmtId="165" fontId="23" fillId="3" borderId="0" xfId="0" applyNumberFormat="1" applyFont="1" applyFill="1" applyAlignment="1">
      <alignment horizontal="center"/>
    </xf>
    <xf numFmtId="14" fontId="23" fillId="4" borderId="0" xfId="0" applyNumberFormat="1" applyFont="1" applyFill="1" applyAlignment="1">
      <alignment horizontal="center"/>
    </xf>
    <xf numFmtId="165" fontId="23" fillId="4" borderId="0" xfId="0" applyNumberFormat="1" applyFont="1" applyFill="1" applyAlignment="1">
      <alignment horizontal="center"/>
    </xf>
    <xf numFmtId="14" fontId="23" fillId="5" borderId="0" xfId="0" applyNumberFormat="1" applyFont="1" applyFill="1" applyAlignment="1">
      <alignment horizontal="center"/>
    </xf>
    <xf numFmtId="14" fontId="23" fillId="6" borderId="0" xfId="0" applyNumberFormat="1" applyFont="1" applyFill="1" applyAlignment="1">
      <alignment horizontal="center"/>
    </xf>
    <xf numFmtId="0" fontId="25" fillId="0" borderId="0" xfId="2" applyFont="1" applyAlignment="1">
      <alignment horizontal="left"/>
    </xf>
    <xf numFmtId="0" fontId="26" fillId="0" borderId="0" xfId="2" applyFont="1" applyAlignment="1" applyProtection="1">
      <alignment wrapText="1"/>
      <protection locked="0"/>
    </xf>
    <xf numFmtId="0" fontId="27" fillId="0" borderId="0" xfId="2" applyFont="1"/>
    <xf numFmtId="0" fontId="28" fillId="0" borderId="0" xfId="2" applyFont="1" applyAlignment="1">
      <alignment vertical="center"/>
    </xf>
    <xf numFmtId="0" fontId="29" fillId="0" borderId="0" xfId="2" applyFont="1"/>
    <xf numFmtId="0" fontId="29" fillId="0" borderId="1" xfId="2" applyFont="1" applyBorder="1"/>
    <xf numFmtId="0" fontId="17" fillId="10" borderId="13" xfId="2" applyFont="1" applyFill="1" applyBorder="1" applyAlignment="1">
      <alignment horizontal="center" wrapText="1"/>
    </xf>
    <xf numFmtId="0" fontId="17" fillId="10" borderId="9" xfId="2" applyFont="1" applyFill="1" applyBorder="1" applyAlignment="1">
      <alignment horizontal="center" wrapText="1"/>
    </xf>
    <xf numFmtId="0" fontId="17" fillId="10" borderId="2" xfId="2" applyFont="1" applyFill="1" applyBorder="1" applyAlignment="1">
      <alignment horizontal="center" wrapText="1"/>
    </xf>
    <xf numFmtId="17" fontId="29" fillId="0" borderId="13" xfId="2" applyNumberFormat="1" applyFont="1" applyBorder="1"/>
    <xf numFmtId="14" fontId="26" fillId="0" borderId="13" xfId="2" applyNumberFormat="1" applyFont="1" applyBorder="1" applyAlignment="1">
      <alignment horizontal="right"/>
    </xf>
    <xf numFmtId="14" fontId="26" fillId="0" borderId="2" xfId="2" applyNumberFormat="1" applyFont="1" applyBorder="1" applyAlignment="1">
      <alignment horizontal="right"/>
    </xf>
    <xf numFmtId="44" fontId="17" fillId="9" borderId="31" xfId="3" applyFont="1" applyFill="1" applyBorder="1" applyProtection="1">
      <protection locked="0"/>
    </xf>
    <xf numFmtId="44" fontId="17" fillId="9" borderId="32" xfId="3" applyFont="1" applyFill="1" applyBorder="1" applyProtection="1">
      <protection locked="0"/>
    </xf>
    <xf numFmtId="0" fontId="29" fillId="9" borderId="8" xfId="2" applyFont="1" applyFill="1" applyBorder="1" applyProtection="1">
      <protection locked="0"/>
    </xf>
    <xf numFmtId="172" fontId="29" fillId="9" borderId="8" xfId="2" applyNumberFormat="1" applyFont="1" applyFill="1" applyBorder="1" applyProtection="1">
      <protection locked="0"/>
    </xf>
    <xf numFmtId="0" fontId="29" fillId="9" borderId="13" xfId="2" applyFont="1" applyFill="1" applyBorder="1" applyProtection="1">
      <protection locked="0"/>
    </xf>
    <xf numFmtId="1" fontId="29" fillId="9" borderId="8" xfId="2" applyNumberFormat="1" applyFont="1" applyFill="1" applyBorder="1" applyProtection="1">
      <protection locked="0"/>
    </xf>
    <xf numFmtId="44" fontId="29" fillId="0" borderId="13" xfId="2" applyNumberFormat="1" applyFont="1" applyBorder="1"/>
    <xf numFmtId="0" fontId="29" fillId="0" borderId="24" xfId="2" applyFont="1" applyBorder="1"/>
    <xf numFmtId="37" fontId="29" fillId="9" borderId="35" xfId="3" applyNumberFormat="1" applyFont="1" applyFill="1" applyBorder="1" applyProtection="1">
      <protection locked="0"/>
    </xf>
    <xf numFmtId="0" fontId="29" fillId="0" borderId="25" xfId="2" applyFont="1" applyBorder="1" applyAlignment="1">
      <alignment horizontal="center"/>
    </xf>
    <xf numFmtId="0" fontId="29" fillId="0" borderId="0" xfId="2" applyFont="1" applyAlignment="1">
      <alignment horizontal="right"/>
    </xf>
    <xf numFmtId="37" fontId="29" fillId="0" borderId="0" xfId="3" applyNumberFormat="1" applyFont="1" applyFill="1" applyBorder="1" applyProtection="1">
      <protection locked="0"/>
    </xf>
    <xf numFmtId="0" fontId="29" fillId="0" borderId="0" xfId="2" applyFont="1" applyProtection="1">
      <protection locked="0"/>
    </xf>
    <xf numFmtId="0" fontId="29" fillId="0" borderId="0" xfId="2" applyFont="1" applyAlignment="1">
      <alignment horizontal="center"/>
    </xf>
    <xf numFmtId="1" fontId="17" fillId="10" borderId="13" xfId="2" applyNumberFormat="1" applyFont="1" applyFill="1" applyBorder="1" applyAlignment="1">
      <alignment horizontal="center" wrapText="1"/>
    </xf>
    <xf numFmtId="17" fontId="29" fillId="0" borderId="12" xfId="2" applyNumberFormat="1" applyFont="1" applyBorder="1"/>
    <xf numFmtId="14" fontId="26" fillId="0" borderId="12" xfId="2" applyNumberFormat="1" applyFont="1" applyBorder="1" applyAlignment="1">
      <alignment horizontal="right"/>
    </xf>
    <xf numFmtId="14" fontId="26" fillId="0" borderId="11" xfId="2" applyNumberFormat="1" applyFont="1" applyBorder="1" applyAlignment="1">
      <alignment horizontal="right"/>
    </xf>
    <xf numFmtId="44" fontId="17" fillId="9" borderId="27" xfId="3" applyFont="1" applyFill="1" applyBorder="1" applyProtection="1">
      <protection locked="0"/>
    </xf>
    <xf numFmtId="44" fontId="17" fillId="9" borderId="28" xfId="3" applyFont="1" applyFill="1" applyBorder="1" applyProtection="1">
      <protection locked="0"/>
    </xf>
    <xf numFmtId="0" fontId="29" fillId="9" borderId="14" xfId="2" applyFont="1" applyFill="1" applyBorder="1" applyProtection="1">
      <protection locked="0"/>
    </xf>
    <xf numFmtId="0" fontId="29" fillId="9" borderId="12" xfId="2" applyFont="1" applyFill="1" applyBorder="1" applyProtection="1">
      <protection locked="0"/>
    </xf>
    <xf numFmtId="1" fontId="29" fillId="9" borderId="14" xfId="2" applyNumberFormat="1" applyFont="1" applyFill="1" applyBorder="1" applyProtection="1">
      <protection locked="0"/>
    </xf>
    <xf numFmtId="44" fontId="17" fillId="0" borderId="12" xfId="3" applyFont="1" applyBorder="1" applyProtection="1"/>
    <xf numFmtId="44" fontId="29" fillId="0" borderId="12" xfId="2" applyNumberFormat="1" applyFont="1" applyBorder="1"/>
    <xf numFmtId="0" fontId="17" fillId="0" borderId="0" xfId="2" applyFont="1"/>
    <xf numFmtId="0" fontId="17" fillId="0" borderId="0" xfId="2" applyFont="1" applyAlignment="1">
      <alignment horizontal="left"/>
    </xf>
    <xf numFmtId="0" fontId="30" fillId="0" borderId="0" xfId="2" applyFont="1"/>
    <xf numFmtId="44" fontId="30" fillId="0" borderId="0" xfId="3" applyFont="1" applyBorder="1" applyProtection="1"/>
    <xf numFmtId="0" fontId="29" fillId="0" borderId="0" xfId="2" applyFont="1" applyAlignment="1">
      <alignment horizontal="left"/>
    </xf>
    <xf numFmtId="0" fontId="17" fillId="0" borderId="0" xfId="2" applyFont="1" applyAlignment="1">
      <alignment horizontal="right"/>
    </xf>
    <xf numFmtId="0" fontId="29" fillId="0" borderId="0" xfId="2" applyFont="1" applyAlignment="1">
      <alignment wrapText="1"/>
    </xf>
    <xf numFmtId="44" fontId="29" fillId="0" borderId="0" xfId="2" applyNumberFormat="1" applyFont="1"/>
    <xf numFmtId="0" fontId="31" fillId="0" borderId="0" xfId="2" applyFont="1"/>
    <xf numFmtId="37" fontId="29" fillId="9" borderId="0" xfId="3" applyNumberFormat="1" applyFont="1" applyFill="1" applyBorder="1" applyProtection="1">
      <protection locked="0"/>
    </xf>
    <xf numFmtId="0" fontId="29" fillId="9" borderId="0" xfId="2" applyFont="1" applyFill="1" applyProtection="1">
      <protection locked="0"/>
    </xf>
    <xf numFmtId="172" fontId="29" fillId="9" borderId="0" xfId="2" applyNumberFormat="1" applyFont="1" applyFill="1" applyProtection="1">
      <protection locked="0"/>
    </xf>
    <xf numFmtId="0" fontId="29" fillId="0" borderId="15" xfId="2" applyFont="1" applyBorder="1"/>
    <xf numFmtId="170" fontId="29" fillId="0" borderId="0" xfId="2" applyNumberFormat="1" applyFont="1" applyAlignment="1">
      <alignment vertical="center"/>
    </xf>
    <xf numFmtId="170" fontId="29" fillId="4" borderId="1" xfId="2" applyNumberFormat="1" applyFont="1" applyFill="1" applyBorder="1" applyAlignment="1" applyProtection="1">
      <alignment horizontal="center" vertical="center"/>
      <protection locked="0"/>
    </xf>
    <xf numFmtId="0" fontId="29" fillId="4" borderId="1" xfId="2" applyFont="1" applyFill="1" applyBorder="1" applyAlignment="1">
      <alignment horizontal="center"/>
    </xf>
    <xf numFmtId="170" fontId="29" fillId="0" borderId="0" xfId="2" applyNumberFormat="1" applyFont="1"/>
    <xf numFmtId="170" fontId="29" fillId="4" borderId="1" xfId="2" applyNumberFormat="1" applyFont="1" applyFill="1" applyBorder="1" applyAlignment="1" applyProtection="1">
      <alignment horizontal="center"/>
      <protection locked="0"/>
    </xf>
    <xf numFmtId="0" fontId="29" fillId="4" borderId="1" xfId="2" applyFont="1" applyFill="1" applyBorder="1"/>
    <xf numFmtId="0" fontId="29" fillId="4" borderId="1" xfId="2" applyFont="1" applyFill="1" applyBorder="1" applyAlignment="1" applyProtection="1">
      <alignment horizontal="center"/>
      <protection locked="0"/>
    </xf>
    <xf numFmtId="0" fontId="29" fillId="9" borderId="8" xfId="2" applyFont="1" applyFill="1" applyBorder="1" applyAlignment="1" applyProtection="1">
      <alignment horizontal="center"/>
      <protection locked="0"/>
    </xf>
    <xf numFmtId="172" fontId="29" fillId="9" borderId="8" xfId="2" applyNumberFormat="1" applyFont="1" applyFill="1" applyBorder="1" applyAlignment="1" applyProtection="1">
      <alignment horizontal="center"/>
      <protection locked="0"/>
    </xf>
    <xf numFmtId="0" fontId="29" fillId="9" borderId="13" xfId="2" applyFont="1" applyFill="1" applyBorder="1" applyAlignment="1" applyProtection="1">
      <alignment horizontal="center"/>
      <protection locked="0"/>
    </xf>
    <xf numFmtId="1" fontId="29" fillId="9" borderId="8" xfId="2" applyNumberFormat="1" applyFont="1" applyFill="1" applyBorder="1" applyAlignment="1" applyProtection="1">
      <alignment horizontal="center"/>
      <protection locked="0"/>
    </xf>
    <xf numFmtId="44" fontId="17" fillId="0" borderId="13" xfId="3" applyFont="1" applyBorder="1" applyAlignment="1" applyProtection="1">
      <alignment horizontal="center"/>
    </xf>
    <xf numFmtId="0" fontId="29" fillId="9" borderId="26" xfId="2" applyFont="1" applyFill="1" applyBorder="1" applyAlignment="1" applyProtection="1">
      <alignment horizontal="center"/>
      <protection locked="0"/>
    </xf>
    <xf numFmtId="172" fontId="29" fillId="9" borderId="26" xfId="2" applyNumberFormat="1" applyFont="1" applyFill="1" applyBorder="1" applyAlignment="1" applyProtection="1">
      <alignment horizontal="center"/>
      <protection locked="0"/>
    </xf>
    <xf numFmtId="0" fontId="29" fillId="9" borderId="25" xfId="2" applyFont="1" applyFill="1" applyBorder="1" applyAlignment="1" applyProtection="1">
      <alignment horizontal="center"/>
      <protection locked="0"/>
    </xf>
    <xf numFmtId="1" fontId="29" fillId="9" borderId="26" xfId="2" applyNumberFormat="1" applyFont="1" applyFill="1" applyBorder="1" applyAlignment="1" applyProtection="1">
      <alignment horizontal="center"/>
      <protection locked="0"/>
    </xf>
    <xf numFmtId="0" fontId="29" fillId="0" borderId="0" xfId="2" applyFont="1" applyAlignment="1" applyProtection="1">
      <alignment horizontal="center"/>
      <protection locked="0"/>
    </xf>
    <xf numFmtId="10" fontId="29" fillId="0" borderId="0" xfId="2" applyNumberFormat="1" applyFont="1" applyAlignment="1" applyProtection="1">
      <alignment horizontal="center"/>
      <protection locked="0"/>
    </xf>
    <xf numFmtId="1" fontId="29" fillId="0" borderId="0" xfId="2" applyNumberFormat="1" applyFont="1" applyAlignment="1" applyProtection="1">
      <alignment horizontal="center"/>
      <protection locked="0"/>
    </xf>
    <xf numFmtId="0" fontId="29" fillId="9" borderId="14" xfId="2" applyFont="1" applyFill="1" applyBorder="1" applyAlignment="1" applyProtection="1">
      <alignment horizontal="center"/>
      <protection locked="0"/>
    </xf>
    <xf numFmtId="0" fontId="29" fillId="9" borderId="12" xfId="2" applyFont="1" applyFill="1" applyBorder="1" applyAlignment="1" applyProtection="1">
      <alignment horizontal="center"/>
      <protection locked="0"/>
    </xf>
    <xf numFmtId="1" fontId="29" fillId="9" borderId="14" xfId="2" applyNumberFormat="1" applyFont="1" applyFill="1" applyBorder="1" applyAlignment="1" applyProtection="1">
      <alignment horizontal="center"/>
      <protection locked="0"/>
    </xf>
    <xf numFmtId="44" fontId="17" fillId="0" borderId="12" xfId="3" applyFont="1" applyBorder="1" applyAlignment="1" applyProtection="1">
      <alignment horizontal="center"/>
    </xf>
    <xf numFmtId="0" fontId="32" fillId="0" borderId="0" xfId="0" applyFont="1"/>
    <xf numFmtId="0" fontId="2" fillId="9" borderId="22" xfId="0" applyFont="1" applyFill="1" applyBorder="1" applyAlignment="1">
      <alignment horizontal="center"/>
    </xf>
    <xf numFmtId="0" fontId="2" fillId="12" borderId="0" xfId="0" applyFont="1" applyFill="1" applyAlignment="1">
      <alignment horizontal="left"/>
    </xf>
    <xf numFmtId="0" fontId="0" fillId="12" borderId="0" xfId="0" applyFill="1"/>
    <xf numFmtId="0" fontId="0" fillId="12" borderId="0" xfId="0" applyFill="1" applyAlignment="1">
      <alignment horizontal="left"/>
    </xf>
    <xf numFmtId="14" fontId="0" fillId="12" borderId="0" xfId="0" applyNumberFormat="1" applyFill="1" applyAlignment="1">
      <alignment horizontal="right"/>
    </xf>
    <xf numFmtId="0" fontId="2" fillId="12" borderId="0" xfId="0" applyFont="1" applyFill="1" applyAlignment="1">
      <alignment horizontal="center"/>
    </xf>
    <xf numFmtId="14" fontId="0" fillId="12" borderId="0" xfId="0" applyNumberFormat="1" applyFill="1"/>
    <xf numFmtId="0" fontId="2" fillId="0" borderId="20" xfId="0" applyFont="1" applyBorder="1" applyAlignment="1">
      <alignment horizontal="center"/>
    </xf>
    <xf numFmtId="0" fontId="2" fillId="10" borderId="0" xfId="0" applyFont="1" applyFill="1" applyAlignment="1">
      <alignment horizontal="center"/>
    </xf>
    <xf numFmtId="39" fontId="1" fillId="2" borderId="33" xfId="1" applyNumberFormat="1" applyFont="1" applyFill="1" applyBorder="1" applyAlignment="1" applyProtection="1">
      <alignment horizontal="center"/>
      <protection locked="0"/>
    </xf>
    <xf numFmtId="0" fontId="33" fillId="0" borderId="0" xfId="0" applyFont="1"/>
    <xf numFmtId="44" fontId="29" fillId="0" borderId="0" xfId="3" applyFont="1" applyFill="1" applyBorder="1" applyProtection="1">
      <protection locked="0"/>
    </xf>
    <xf numFmtId="0" fontId="2" fillId="13" borderId="0" xfId="0" applyFont="1" applyFill="1"/>
    <xf numFmtId="14" fontId="2" fillId="13" borderId="22" xfId="0" applyNumberFormat="1" applyFont="1" applyFill="1" applyBorder="1" applyAlignment="1">
      <alignment horizontal="center"/>
    </xf>
    <xf numFmtId="10" fontId="1" fillId="13" borderId="35" xfId="5" applyNumberFormat="1" applyFont="1" applyFill="1" applyBorder="1" applyAlignment="1" applyProtection="1">
      <alignment horizontal="center"/>
    </xf>
    <xf numFmtId="44" fontId="29" fillId="13" borderId="12" xfId="2" applyNumberFormat="1" applyFont="1" applyFill="1" applyBorder="1"/>
    <xf numFmtId="0" fontId="17" fillId="0" borderId="1" xfId="2" applyFont="1" applyBorder="1" applyAlignment="1">
      <alignment horizontal="center"/>
    </xf>
    <xf numFmtId="0" fontId="29" fillId="12" borderId="13" xfId="2" applyFont="1" applyFill="1" applyBorder="1" applyAlignment="1">
      <alignment horizontal="center"/>
    </xf>
    <xf numFmtId="44" fontId="2" fillId="0" borderId="17" xfId="0" applyNumberFormat="1" applyFont="1" applyBorder="1" applyAlignment="1">
      <alignment horizontal="center"/>
    </xf>
    <xf numFmtId="44" fontId="0" fillId="0" borderId="0" xfId="0" applyNumberFormat="1" applyAlignment="1">
      <alignment horizontal="left"/>
    </xf>
    <xf numFmtId="0" fontId="35" fillId="0" borderId="1" xfId="2" applyFont="1" applyBorder="1" applyAlignment="1">
      <alignment horizontal="center"/>
    </xf>
    <xf numFmtId="164" fontId="0" fillId="0" borderId="0" xfId="1" applyNumberFormat="1" applyFont="1" applyBorder="1"/>
    <xf numFmtId="0" fontId="0" fillId="0" borderId="16" xfId="0" applyBorder="1"/>
    <xf numFmtId="164" fontId="0" fillId="0" borderId="20" xfId="0" applyNumberFormat="1" applyBorder="1"/>
    <xf numFmtId="0" fontId="36" fillId="0" borderId="0" xfId="2" applyFont="1"/>
    <xf numFmtId="0" fontId="0" fillId="10" borderId="34" xfId="0" applyFill="1" applyBorder="1"/>
    <xf numFmtId="0" fontId="0" fillId="10" borderId="37" xfId="0" applyFill="1" applyBorder="1"/>
    <xf numFmtId="0" fontId="18" fillId="0" borderId="0" xfId="4" applyProtection="1"/>
    <xf numFmtId="2" fontId="0" fillId="0" borderId="19" xfId="0" applyNumberFormat="1" applyBorder="1" applyAlignment="1">
      <alignment horizontal="center"/>
    </xf>
    <xf numFmtId="2" fontId="2" fillId="0" borderId="16" xfId="0" applyNumberFormat="1" applyFont="1" applyBorder="1" applyAlignment="1">
      <alignment horizontal="center"/>
    </xf>
    <xf numFmtId="0" fontId="34" fillId="0" borderId="18" xfId="0" applyFont="1" applyBorder="1"/>
    <xf numFmtId="0" fontId="2" fillId="0" borderId="17" xfId="0" applyFont="1" applyBorder="1"/>
    <xf numFmtId="37" fontId="2" fillId="0" borderId="18" xfId="1" applyNumberFormat="1" applyFont="1" applyFill="1" applyBorder="1" applyAlignment="1" applyProtection="1">
      <alignment horizontal="center"/>
      <protection locked="0"/>
    </xf>
    <xf numFmtId="44" fontId="1" fillId="0" borderId="42" xfId="1" applyFont="1" applyFill="1" applyBorder="1" applyAlignment="1" applyProtection="1">
      <alignment horizontal="right"/>
    </xf>
    <xf numFmtId="1" fontId="2" fillId="10" borderId="18" xfId="0" applyNumberFormat="1" applyFont="1" applyFill="1" applyBorder="1" applyAlignment="1">
      <alignment horizontal="center" vertical="center"/>
    </xf>
    <xf numFmtId="0" fontId="0" fillId="2" borderId="17" xfId="0" applyFill="1" applyBorder="1"/>
    <xf numFmtId="44" fontId="0" fillId="2" borderId="17" xfId="0" applyNumberFormat="1" applyFill="1" applyBorder="1"/>
    <xf numFmtId="44" fontId="0" fillId="0" borderId="17" xfId="0" applyNumberFormat="1" applyBorder="1"/>
    <xf numFmtId="10" fontId="0" fillId="0" borderId="17" xfId="0" applyNumberFormat="1" applyBorder="1"/>
    <xf numFmtId="42" fontId="0" fillId="9" borderId="17" xfId="0" applyNumberFormat="1" applyFill="1" applyBorder="1"/>
    <xf numFmtId="44" fontId="0" fillId="2" borderId="0" xfId="0" applyNumberFormat="1" applyFill="1"/>
    <xf numFmtId="10" fontId="0" fillId="0" borderId="0" xfId="0" applyNumberFormat="1"/>
    <xf numFmtId="42" fontId="0" fillId="9" borderId="0" xfId="0" applyNumberFormat="1" applyFill="1"/>
    <xf numFmtId="0" fontId="0" fillId="2" borderId="45" xfId="0" applyFill="1" applyBorder="1"/>
    <xf numFmtId="44" fontId="0" fillId="2" borderId="45" xfId="0" applyNumberFormat="1" applyFill="1" applyBorder="1"/>
    <xf numFmtId="44" fontId="0" fillId="0" borderId="45" xfId="0" applyNumberFormat="1" applyBorder="1"/>
    <xf numFmtId="10" fontId="0" fillId="0" borderId="45" xfId="0" applyNumberFormat="1" applyBorder="1"/>
    <xf numFmtId="42" fontId="0" fillId="9" borderId="45" xfId="0" applyNumberFormat="1" applyFill="1" applyBorder="1"/>
    <xf numFmtId="171" fontId="0" fillId="10" borderId="0" xfId="0" applyNumberFormat="1" applyFill="1" applyAlignment="1">
      <alignment horizontal="center" vertical="center" wrapText="1"/>
    </xf>
    <xf numFmtId="172" fontId="0" fillId="10" borderId="0" xfId="0" applyNumberFormat="1" applyFill="1" applyAlignment="1">
      <alignment horizontal="center" vertical="center" wrapText="1"/>
    </xf>
    <xf numFmtId="167" fontId="2" fillId="0" borderId="0" xfId="0" applyNumberFormat="1" applyFont="1" applyAlignment="1">
      <alignment vertical="center"/>
    </xf>
    <xf numFmtId="43" fontId="2"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vertical="center"/>
    </xf>
    <xf numFmtId="0" fontId="0" fillId="0" borderId="22" xfId="0" applyBorder="1" applyAlignment="1">
      <alignment horizontal="center"/>
    </xf>
    <xf numFmtId="0" fontId="0" fillId="0" borderId="19" xfId="0" applyBorder="1" applyAlignment="1">
      <alignment vertical="center"/>
    </xf>
    <xf numFmtId="0" fontId="2" fillId="0" borderId="22" xfId="0" applyFont="1" applyBorder="1" applyAlignment="1">
      <alignment wrapText="1"/>
    </xf>
    <xf numFmtId="0" fontId="2" fillId="10" borderId="46" xfId="0" applyFont="1" applyFill="1" applyBorder="1" applyAlignment="1">
      <alignment horizontal="center" wrapText="1"/>
    </xf>
    <xf numFmtId="0" fontId="2" fillId="10" borderId="47" xfId="0" applyFont="1" applyFill="1" applyBorder="1" applyAlignment="1">
      <alignment horizontal="center" vertical="center" wrapText="1"/>
    </xf>
    <xf numFmtId="164" fontId="0" fillId="0" borderId="0" xfId="0" applyNumberFormat="1"/>
    <xf numFmtId="0" fontId="0" fillId="2" borderId="20" xfId="0" applyFill="1" applyBorder="1" applyAlignment="1">
      <alignment vertical="center"/>
      <extLst>
        <ext xmlns:xfpb="http://schemas.microsoft.com/office/spreadsheetml/2022/featurepropertybag" uri="{C7286773-470A-42A8-94C5-96B5CB345126}">
          <xfpb:xfComplement i="0"/>
        </ext>
      </extLst>
    </xf>
    <xf numFmtId="0" fontId="0" fillId="0" borderId="23" xfId="0" applyBorder="1" applyAlignment="1">
      <alignment horizontal="center" vertical="center"/>
    </xf>
    <xf numFmtId="0" fontId="2" fillId="0" borderId="22" xfId="0" applyFont="1" applyBorder="1" applyAlignment="1">
      <alignment horizontal="center" wrapText="1"/>
    </xf>
    <xf numFmtId="0" fontId="2" fillId="10" borderId="33" xfId="0" applyFont="1" applyFill="1" applyBorder="1" applyAlignment="1">
      <alignment vertical="center"/>
    </xf>
    <xf numFmtId="10" fontId="0" fillId="0" borderId="20" xfId="5" applyNumberFormat="1" applyFont="1" applyBorder="1" applyAlignment="1">
      <alignment horizontal="right"/>
    </xf>
    <xf numFmtId="0" fontId="2" fillId="10" borderId="47" xfId="0" applyFont="1" applyFill="1" applyBorder="1" applyAlignment="1">
      <alignment horizontal="center" wrapText="1"/>
    </xf>
    <xf numFmtId="171" fontId="0" fillId="0" borderId="17" xfId="0" applyNumberFormat="1" applyBorder="1"/>
    <xf numFmtId="172" fontId="0" fillId="0" borderId="48" xfId="0" applyNumberFormat="1" applyBorder="1"/>
    <xf numFmtId="0" fontId="37" fillId="0" borderId="49" xfId="2" applyFont="1" applyBorder="1"/>
    <xf numFmtId="0" fontId="38" fillId="0" borderId="49" xfId="2" applyFont="1" applyBorder="1"/>
    <xf numFmtId="0" fontId="37" fillId="10" borderId="49" xfId="2" applyFont="1" applyFill="1" applyBorder="1" applyAlignment="1">
      <alignment horizontal="center" vertical="center" wrapText="1"/>
    </xf>
    <xf numFmtId="17" fontId="39" fillId="10" borderId="49" xfId="2" applyNumberFormat="1" applyFont="1" applyFill="1" applyBorder="1" applyAlignment="1">
      <alignment horizontal="center" vertical="center"/>
    </xf>
    <xf numFmtId="0" fontId="37" fillId="10" borderId="49" xfId="2" applyFont="1" applyFill="1" applyBorder="1" applyAlignment="1">
      <alignment horizontal="center" vertical="center"/>
    </xf>
    <xf numFmtId="17" fontId="37" fillId="10" borderId="49" xfId="2" applyNumberFormat="1" applyFont="1" applyFill="1" applyBorder="1" applyAlignment="1">
      <alignment horizontal="center" vertical="center"/>
    </xf>
    <xf numFmtId="0" fontId="37" fillId="10" borderId="49" xfId="2" applyFont="1" applyFill="1" applyBorder="1" applyAlignment="1">
      <alignment horizontal="center" wrapText="1"/>
    </xf>
    <xf numFmtId="17" fontId="39" fillId="10" borderId="49" xfId="2" applyNumberFormat="1" applyFont="1" applyFill="1" applyBorder="1" applyAlignment="1">
      <alignment horizontal="center"/>
    </xf>
    <xf numFmtId="0" fontId="40" fillId="10" borderId="49" xfId="2" applyFont="1" applyFill="1" applyBorder="1"/>
    <xf numFmtId="0" fontId="40" fillId="10" borderId="49" xfId="2" applyFont="1" applyFill="1" applyBorder="1" applyAlignment="1">
      <alignment horizontal="center" wrapText="1"/>
    </xf>
    <xf numFmtId="172" fontId="41" fillId="10" borderId="49" xfId="5" applyNumberFormat="1" applyFont="1" applyFill="1" applyBorder="1"/>
    <xf numFmtId="172" fontId="40" fillId="10" borderId="49" xfId="5" applyNumberFormat="1" applyFont="1" applyFill="1" applyBorder="1" applyAlignment="1">
      <alignment horizontal="center" wrapText="1"/>
    </xf>
    <xf numFmtId="0" fontId="29" fillId="0" borderId="12" xfId="2" applyFont="1" applyBorder="1" applyAlignment="1" applyProtection="1">
      <alignment horizontal="center"/>
      <protection locked="0"/>
    </xf>
    <xf numFmtId="0" fontId="29" fillId="0" borderId="13" xfId="2" applyFont="1" applyBorder="1" applyAlignment="1" applyProtection="1">
      <alignment horizontal="center"/>
      <protection locked="0"/>
    </xf>
    <xf numFmtId="0" fontId="29" fillId="0" borderId="12" xfId="2" applyFont="1" applyBorder="1" applyProtection="1">
      <protection locked="0"/>
    </xf>
    <xf numFmtId="0" fontId="2" fillId="0" borderId="33" xfId="0" applyFont="1" applyBorder="1" applyAlignment="1">
      <alignment horizontal="center"/>
    </xf>
    <xf numFmtId="0" fontId="2" fillId="0" borderId="34" xfId="0" applyFont="1" applyBorder="1" applyAlignment="1">
      <alignment horizontal="center"/>
    </xf>
    <xf numFmtId="0" fontId="3" fillId="0" borderId="40" xfId="0" applyFont="1" applyBorder="1" applyAlignment="1">
      <alignment horizontal="right"/>
    </xf>
    <xf numFmtId="0" fontId="3" fillId="0" borderId="23" xfId="0" applyFont="1" applyBorder="1" applyAlignment="1">
      <alignment horizontal="right"/>
    </xf>
    <xf numFmtId="44" fontId="3" fillId="0" borderId="41" xfId="0" applyNumberFormat="1" applyFont="1" applyBorder="1" applyAlignment="1">
      <alignment horizontal="right"/>
    </xf>
    <xf numFmtId="44" fontId="3" fillId="0" borderId="37" xfId="0" applyNumberFormat="1" applyFont="1" applyBorder="1" applyAlignment="1">
      <alignment horizontal="right"/>
    </xf>
    <xf numFmtId="0" fontId="2" fillId="2" borderId="1" xfId="0" applyFont="1" applyFill="1" applyBorder="1" applyAlignment="1">
      <alignment horizontal="center"/>
    </xf>
    <xf numFmtId="0" fontId="15" fillId="0" borderId="0" xfId="0" applyFont="1" applyAlignment="1">
      <alignment horizontal="center"/>
    </xf>
    <xf numFmtId="0" fontId="2" fillId="2" borderId="0" xfId="0" applyFont="1" applyFill="1" applyAlignment="1">
      <alignment horizontal="center"/>
    </xf>
    <xf numFmtId="0" fontId="2" fillId="0" borderId="7" xfId="0" applyFont="1" applyBorder="1" applyAlignment="1">
      <alignment horizontal="right"/>
    </xf>
    <xf numFmtId="0" fontId="2" fillId="0" borderId="36" xfId="0" applyFont="1" applyBorder="1" applyAlignment="1">
      <alignment horizontal="right"/>
    </xf>
    <xf numFmtId="0" fontId="2" fillId="10" borderId="7" xfId="0" applyFont="1" applyFill="1" applyBorder="1" applyAlignment="1">
      <alignment horizontal="right"/>
    </xf>
    <xf numFmtId="0" fontId="2" fillId="10" borderId="36" xfId="0" applyFont="1" applyFill="1" applyBorder="1" applyAlignment="1">
      <alignment horizontal="right"/>
    </xf>
    <xf numFmtId="0" fontId="22" fillId="0" borderId="1" xfId="0" applyFont="1" applyBorder="1" applyAlignment="1">
      <alignment horizontal="center"/>
    </xf>
    <xf numFmtId="0" fontId="2" fillId="10" borderId="0" xfId="0" applyFont="1" applyFill="1" applyAlignment="1">
      <alignment horizontal="right"/>
    </xf>
    <xf numFmtId="0" fontId="2" fillId="10" borderId="7" xfId="0" applyFont="1" applyFill="1" applyBorder="1" applyAlignment="1">
      <alignment horizontal="center"/>
    </xf>
    <xf numFmtId="0" fontId="2" fillId="10" borderId="36" xfId="0" applyFont="1" applyFill="1" applyBorder="1" applyAlignment="1">
      <alignment horizontal="center"/>
    </xf>
    <xf numFmtId="0" fontId="2" fillId="10" borderId="3" xfId="0" applyFont="1" applyFill="1" applyBorder="1" applyAlignment="1">
      <alignment horizontal="center"/>
    </xf>
    <xf numFmtId="0" fontId="2" fillId="10" borderId="0" xfId="0" applyFont="1" applyFill="1" applyAlignment="1">
      <alignment horizontal="center"/>
    </xf>
    <xf numFmtId="0" fontId="2" fillId="0" borderId="0" xfId="0" applyFont="1" applyAlignment="1">
      <alignment horizontal="right"/>
    </xf>
    <xf numFmtId="0" fontId="0" fillId="0" borderId="0" xfId="0" applyAlignment="1">
      <alignment horizontal="center"/>
    </xf>
    <xf numFmtId="0" fontId="2" fillId="12" borderId="0" xfId="0" applyFont="1" applyFill="1" applyAlignment="1">
      <alignment horizontal="center" wrapText="1"/>
    </xf>
    <xf numFmtId="0" fontId="1" fillId="0" borderId="0" xfId="0" applyFont="1" applyAlignment="1">
      <alignment horizontal="center" wrapText="1"/>
    </xf>
    <xf numFmtId="0" fontId="2" fillId="0" borderId="3"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2" fillId="0" borderId="36" xfId="0" applyFont="1" applyBorder="1" applyAlignment="1">
      <alignment horizontal="center"/>
    </xf>
    <xf numFmtId="0" fontId="3" fillId="0" borderId="22" xfId="0" applyFont="1" applyBorder="1" applyAlignment="1">
      <alignment horizontal="right"/>
    </xf>
    <xf numFmtId="44" fontId="3" fillId="0" borderId="34" xfId="0" applyNumberFormat="1" applyFont="1" applyBorder="1" applyAlignment="1">
      <alignment horizontal="right"/>
    </xf>
    <xf numFmtId="0" fontId="2" fillId="0" borderId="0" xfId="0" applyFont="1" applyAlignment="1">
      <alignment horizontal="center"/>
    </xf>
    <xf numFmtId="0" fontId="2" fillId="0" borderId="20" xfId="0" applyFont="1" applyBorder="1" applyAlignment="1">
      <alignment horizontal="center"/>
    </xf>
    <xf numFmtId="0" fontId="0" fillId="0" borderId="19" xfId="0" applyBorder="1" applyAlignment="1">
      <alignment vertical="center" wrapText="1"/>
    </xf>
    <xf numFmtId="0" fontId="0" fillId="0" borderId="0" xfId="0"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 fillId="10" borderId="0" xfId="0" applyFont="1" applyFill="1" applyAlignment="1">
      <alignment horizontal="center" vertical="center" wrapText="1"/>
    </xf>
    <xf numFmtId="0" fontId="16" fillId="0" borderId="0" xfId="0" applyFont="1" applyAlignment="1">
      <alignment horizontal="center" vertical="center" wrapText="1"/>
    </xf>
    <xf numFmtId="0" fontId="2" fillId="10" borderId="2" xfId="0" applyFont="1" applyFill="1" applyBorder="1" applyAlignment="1">
      <alignment horizontal="center"/>
    </xf>
    <xf numFmtId="0" fontId="2" fillId="10" borderId="4" xfId="0" applyFont="1" applyFill="1" applyBorder="1" applyAlignment="1">
      <alignment horizontal="center"/>
    </xf>
    <xf numFmtId="0" fontId="9" fillId="10" borderId="0" xfId="0" applyFont="1" applyFill="1" applyAlignment="1">
      <alignment horizontal="center"/>
    </xf>
    <xf numFmtId="0" fontId="20" fillId="0" borderId="0" xfId="0" applyFont="1" applyAlignment="1">
      <alignment horizontal="center"/>
    </xf>
    <xf numFmtId="0" fontId="2" fillId="10" borderId="17" xfId="0" applyFont="1" applyFill="1" applyBorder="1" applyAlignment="1">
      <alignment horizontal="center"/>
    </xf>
    <xf numFmtId="0" fontId="29" fillId="0" borderId="33" xfId="2" applyFont="1" applyBorder="1" applyAlignment="1">
      <alignment horizontal="center"/>
    </xf>
    <xf numFmtId="0" fontId="29" fillId="0" borderId="37" xfId="2" applyFont="1" applyBorder="1" applyAlignment="1">
      <alignment horizontal="center"/>
    </xf>
    <xf numFmtId="0" fontId="28" fillId="2" borderId="7" xfId="2" applyFont="1" applyFill="1" applyBorder="1" applyAlignment="1">
      <alignment horizontal="center" vertical="center"/>
    </xf>
    <xf numFmtId="0" fontId="28" fillId="2" borderId="8" xfId="2" applyFont="1" applyFill="1" applyBorder="1" applyAlignment="1">
      <alignment horizontal="center" vertical="center"/>
    </xf>
    <xf numFmtId="0" fontId="29" fillId="9" borderId="1" xfId="2" applyFont="1" applyFill="1" applyBorder="1" applyAlignment="1" applyProtection="1">
      <alignment horizontal="center"/>
      <protection locked="0"/>
    </xf>
    <xf numFmtId="0" fontId="29" fillId="0" borderId="0" xfId="2" applyFont="1" applyAlignment="1">
      <alignment horizontal="center"/>
    </xf>
    <xf numFmtId="0" fontId="25" fillId="0" borderId="0" xfId="2" applyFont="1" applyAlignment="1">
      <alignment horizontal="center" wrapText="1"/>
    </xf>
    <xf numFmtId="49" fontId="29" fillId="9" borderId="1" xfId="2" applyNumberFormat="1" applyFont="1" applyFill="1" applyBorder="1" applyAlignment="1" applyProtection="1">
      <alignment horizontal="center"/>
      <protection locked="0"/>
    </xf>
  </cellXfs>
  <cellStyles count="6">
    <cellStyle name="Currency" xfId="1" builtinId="4"/>
    <cellStyle name="Currency 2" xfId="3" xr:uid="{00000000-0005-0000-0000-000001000000}"/>
    <cellStyle name="Hyperlink" xfId="4" builtinId="8"/>
    <cellStyle name="Normal" xfId="0" builtinId="0"/>
    <cellStyle name="Normal 2" xfId="2" xr:uid="{00000000-0005-0000-0000-000004000000}"/>
    <cellStyle name="Percent" xfId="5" builtinId="5"/>
  </cellStyles>
  <dxfs count="71">
    <dxf>
      <font>
        <color rgb="FF9C0006"/>
      </font>
      <fill>
        <patternFill>
          <bgColor rgb="FFFFC7CE"/>
        </patternFill>
      </fill>
    </dxf>
    <dxf>
      <font>
        <color rgb="FF9C0006"/>
      </font>
      <fill>
        <patternFill>
          <bgColor rgb="FFFFC7CE"/>
        </patternFill>
      </fill>
    </dxf>
    <dxf>
      <font>
        <b/>
        <i val="0"/>
      </font>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patternType="none">
          <fgColor indexed="64"/>
          <bgColor auto="1"/>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border>
        <left/>
        <right/>
        <top/>
        <bottom/>
      </border>
    </dxf>
    <dxf>
      <font>
        <color theme="0"/>
      </font>
      <fill>
        <patternFill patternType="none">
          <bgColor auto="1"/>
        </patternFill>
      </fill>
    </dxf>
    <dxf>
      <font>
        <strike val="0"/>
        <color theme="0"/>
      </font>
      <fill>
        <patternFill patternType="none">
          <fgColor indexed="64"/>
          <bgColor auto="1"/>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rgb="FFFF0000"/>
        </patternFill>
      </fill>
    </dxf>
    <dxf>
      <fill>
        <patternFill>
          <fgColor rgb="FFFF7C80"/>
          <bgColor rgb="FFFF0000"/>
        </patternFill>
      </fill>
    </dxf>
    <dxf>
      <font>
        <color auto="1"/>
      </font>
      <fill>
        <patternFill>
          <bgColor rgb="FFFF7C80"/>
        </patternFill>
      </fill>
    </dxf>
    <dxf>
      <fill>
        <patternFill>
          <bgColor rgb="FFFF7C80"/>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patternType="none">
          <fgColor indexed="64"/>
          <bgColor auto="1"/>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border>
        <left/>
        <right/>
        <top/>
        <bottom/>
      </border>
    </dxf>
    <dxf>
      <font>
        <color theme="0"/>
      </font>
      <fill>
        <patternFill patternType="none">
          <bgColor auto="1"/>
        </patternFill>
      </fill>
    </dxf>
    <dxf>
      <font>
        <strike val="0"/>
        <color theme="0"/>
      </font>
      <fill>
        <patternFill patternType="none">
          <fgColor indexed="64"/>
          <bgColor auto="1"/>
        </patternFill>
      </fill>
    </dxf>
    <dxf>
      <font>
        <color theme="0"/>
      </font>
      <fill>
        <patternFill patternType="none">
          <bgColor auto="1"/>
        </patternFill>
      </fill>
    </dxf>
  </dxfs>
  <tableStyles count="0" defaultTableStyle="TableStyleMedium2" defaultPivotStyle="PivotStyleLight16"/>
  <colors>
    <mruColors>
      <color rgb="FFFF7C80"/>
      <color rgb="FFFF9999"/>
      <color rgb="FFFF3300"/>
      <color rgb="FFFF5050"/>
      <color rgb="FFF4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136525</xdr:colOff>
      <xdr:row>0</xdr:row>
      <xdr:rowOff>159558</xdr:rowOff>
    </xdr:from>
    <xdr:to>
      <xdr:col>11</xdr:col>
      <xdr:colOff>365125</xdr:colOff>
      <xdr:row>83</xdr:row>
      <xdr:rowOff>63500</xdr:rowOff>
    </xdr:to>
    <xdr:sp macro="" textlink="">
      <xdr:nvSpPr>
        <xdr:cNvPr id="2" name="TextBox 1">
          <a:extLst>
            <a:ext uri="{FF2B5EF4-FFF2-40B4-BE49-F238E27FC236}">
              <a16:creationId xmlns:a16="http://schemas.microsoft.com/office/drawing/2014/main" id="{289F442D-7700-4B89-B5EF-69B65D582504}"/>
            </a:ext>
          </a:extLst>
        </xdr:cNvPr>
        <xdr:cNvSpPr txBox="1"/>
      </xdr:nvSpPr>
      <xdr:spPr>
        <a:xfrm>
          <a:off x="136525" y="159558"/>
          <a:ext cx="6964680" cy="13939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ysClr val="windowText" lastClr="000000"/>
              </a:solidFill>
              <a:effectLst/>
              <a:latin typeface="+mn-lt"/>
              <a:ea typeface="+mn-ea"/>
              <a:cs typeface="+mn-cs"/>
            </a:rPr>
            <a:t>Introduction</a:t>
          </a:r>
        </a:p>
        <a:p>
          <a:r>
            <a:rPr lang="en-US" sz="1100">
              <a:solidFill>
                <a:sysClr val="windowText" lastClr="000000"/>
              </a:solidFill>
              <a:effectLst/>
              <a:latin typeface="+mn-lt"/>
              <a:ea typeface="+mn-ea"/>
              <a:cs typeface="+mn-cs"/>
            </a:rPr>
            <a:t>This excel worksheet is to be used to accomplish two things:</a:t>
          </a:r>
        </a:p>
        <a:p>
          <a:r>
            <a:rPr lang="en-US" sz="1100" baseline="0">
              <a:solidFill>
                <a:sysClr val="windowText" lastClr="000000"/>
              </a:solidFill>
              <a:effectLst/>
              <a:latin typeface="+mn-lt"/>
              <a:ea typeface="+mn-ea"/>
              <a:cs typeface="+mn-cs"/>
            </a:rPr>
            <a:t>          -measure and track compensation through summer months, including teaching, research and other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-track, allocate and summer funding for research activities only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sheets are best when used in coordination and understanding of the CU Boulder campus policy for summer compensation and the Academic Affairs guidance for best practice (found here: https://www.colorado.edu/academicaffairs/academic-resources).  Any questions about the tool itself, can be directed towards the HR Service Center at HRSC@colorado.edu </a:t>
          </a:r>
        </a:p>
        <a:p>
          <a:endParaRPr lang="en-US" sz="1200" b="1">
            <a:solidFill>
              <a:sysClr val="windowText" lastClr="000000"/>
            </a:solidFill>
            <a:effectLst/>
            <a:latin typeface="+mn-lt"/>
            <a:ea typeface="+mn-ea"/>
            <a:cs typeface="+mn-cs"/>
          </a:endParaRPr>
        </a:p>
        <a:p>
          <a:r>
            <a:rPr lang="en-US" sz="1600" b="1">
              <a:solidFill>
                <a:sysClr val="windowText" lastClr="000000"/>
              </a:solidFill>
              <a:effectLst/>
              <a:latin typeface="+mn-lt"/>
              <a:ea typeface="+mn-ea"/>
              <a:cs typeface="+mn-cs"/>
            </a:rPr>
            <a:t>Guide</a:t>
          </a:r>
        </a:p>
        <a:p>
          <a:r>
            <a:rPr lang="en-US" sz="1200" b="1">
              <a:solidFill>
                <a:sysClr val="windowText" lastClr="000000"/>
              </a:solidFill>
              <a:effectLst/>
              <a:latin typeface="+mn-lt"/>
              <a:ea typeface="+mn-ea"/>
              <a:cs typeface="+mn-cs"/>
            </a:rPr>
            <a:t>General Guidelines:</a:t>
          </a:r>
          <a:endParaRPr lang="en-US" sz="12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cells intended for editing and entry are highlighted blue</a:t>
          </a:r>
          <a:endParaRPr lang="en-US" sz="1100" baseline="0">
            <a:solidFill>
              <a:sysClr val="windowText" lastClr="000000"/>
            </a:solidFill>
            <a:effectLst/>
            <a:latin typeface="+mn-lt"/>
            <a:ea typeface="+mn-ea"/>
            <a:cs typeface="+mn-cs"/>
          </a:endParaRP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other cells are linked to automatically compute and adjust based on the entry made</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 </a:t>
          </a:r>
          <a:r>
            <a:rPr lang="en-US" sz="1100" b="1">
              <a:solidFill>
                <a:sysClr val="windowText" lastClr="000000"/>
              </a:solidFill>
              <a:effectLst/>
              <a:latin typeface="+mn-lt"/>
              <a:ea typeface="+mn-ea"/>
              <a:cs typeface="+mn-cs"/>
            </a:rPr>
            <a:t>Summer Request Form </a:t>
          </a:r>
          <a:r>
            <a:rPr lang="en-US" sz="1100">
              <a:solidFill>
                <a:sysClr val="windowText" lastClr="000000"/>
              </a:solidFill>
              <a:effectLst/>
              <a:latin typeface="+mn-lt"/>
              <a:ea typeface="+mn-ea"/>
              <a:cs typeface="+mn-cs"/>
            </a:rPr>
            <a:t>is based entirely on the data entered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and the </a:t>
          </a:r>
          <a:r>
            <a:rPr lang="en-US" sz="1100" b="1">
              <a:solidFill>
                <a:sysClr val="windowText" lastClr="000000"/>
              </a:solidFill>
              <a:effectLst/>
              <a:latin typeface="+mn-lt"/>
              <a:ea typeface="+mn-ea"/>
              <a:cs typeface="+mn-cs"/>
            </a:rPr>
            <a:t>Funding</a:t>
          </a:r>
          <a:r>
            <a:rPr lang="en-US" sz="1100" b="1" baseline="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Distribution </a:t>
          </a:r>
          <a:r>
            <a:rPr lang="en-US" sz="1100">
              <a:solidFill>
                <a:sysClr val="windowText" lastClr="000000"/>
              </a:solidFill>
              <a:effectLst/>
              <a:latin typeface="+mn-lt"/>
              <a:ea typeface="+mn-ea"/>
              <a:cs typeface="+mn-cs"/>
            </a:rPr>
            <a:t>sheets.  You are able to overwrite the formulas with raw data, but it will break the connection with the other sheets.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--It is the departments responsibility to retain copies of the </a:t>
          </a:r>
          <a:r>
            <a:rPr lang="en-US" sz="1100" b="1">
              <a:solidFill>
                <a:sysClr val="windowText" lastClr="000000"/>
              </a:solidFill>
              <a:effectLst/>
              <a:latin typeface="+mn-lt"/>
              <a:ea typeface="+mn-ea"/>
              <a:cs typeface="+mn-cs"/>
            </a:rPr>
            <a:t>Request</a:t>
          </a:r>
          <a:r>
            <a:rPr lang="en-US" sz="1100" b="1" baseline="0">
              <a:solidFill>
                <a:sysClr val="windowText" lastClr="000000"/>
              </a:solidFill>
              <a:effectLst/>
              <a:latin typeface="+mn-lt"/>
              <a:ea typeface="+mn-ea"/>
              <a:cs typeface="+mn-cs"/>
            </a:rPr>
            <a:t> Form</a:t>
          </a:r>
          <a:r>
            <a:rPr lang="en-US" sz="1100">
              <a:solidFill>
                <a:sysClr val="windowText" lastClr="000000"/>
              </a:solidFill>
              <a:effectLst/>
              <a:latin typeface="+mn-lt"/>
              <a:ea typeface="+mn-ea"/>
              <a:cs typeface="+mn-cs"/>
            </a:rPr>
            <a:t>.</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a:t>
          </a:r>
          <a:r>
            <a:rPr lang="en-US" sz="1100" baseline="0">
              <a:solidFill>
                <a:sysClr val="windowText" lastClr="000000"/>
              </a:solidFill>
              <a:effectLst/>
              <a:latin typeface="+mn-lt"/>
              <a:ea typeface="+mn-ea"/>
              <a:cs typeface="+mn-cs"/>
            </a:rPr>
            <a:t> </a:t>
          </a:r>
          <a:r>
            <a:rPr lang="en-US" sz="1100" b="1" baseline="0">
              <a:solidFill>
                <a:sysClr val="windowText" lastClr="000000"/>
              </a:solidFill>
              <a:effectLst/>
              <a:latin typeface="+mn-lt"/>
              <a:ea typeface="+mn-ea"/>
              <a:cs typeface="+mn-cs"/>
            </a:rPr>
            <a:t>Request Form</a:t>
          </a:r>
          <a:r>
            <a:rPr lang="en-US" sz="1100" b="0" baseline="0">
              <a:solidFill>
                <a:sysClr val="windowText" lastClr="000000"/>
              </a:solidFill>
              <a:effectLst/>
              <a:latin typeface="+mn-lt"/>
              <a:ea typeface="+mn-ea"/>
              <a:cs typeface="+mn-cs"/>
            </a:rPr>
            <a:t> acts as the "offer letter" and is the legal document by which faculty are paid for their work. It must be accurate and identical to HCM entry information.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--If</a:t>
          </a:r>
          <a:r>
            <a:rPr lang="en-US" sz="1100" baseline="0">
              <a:solidFill>
                <a:sysClr val="windowText" lastClr="000000"/>
              </a:solidFill>
              <a:effectLst/>
              <a:latin typeface="+mn-lt"/>
              <a:ea typeface="+mn-ea"/>
              <a:cs typeface="+mn-cs"/>
            </a:rPr>
            <a:t> any salary change this summer (no merit in the summer any longer) is to be applied July and August compensation, another </a:t>
          </a:r>
          <a:r>
            <a:rPr lang="en-US" sz="1100" b="1" baseline="0">
              <a:solidFill>
                <a:sysClr val="windowText" lastClr="000000"/>
              </a:solidFill>
              <a:effectLst/>
              <a:latin typeface="+mn-lt"/>
              <a:ea typeface="+mn-ea"/>
              <a:cs typeface="+mn-cs"/>
            </a:rPr>
            <a:t>Summer Request Form</a:t>
          </a:r>
          <a:r>
            <a:rPr lang="en-US" sz="1100" baseline="0">
              <a:solidFill>
                <a:sysClr val="windowText" lastClr="000000"/>
              </a:solidFill>
              <a:effectLst/>
              <a:latin typeface="+mn-lt"/>
              <a:ea typeface="+mn-ea"/>
              <a:cs typeface="+mn-cs"/>
            </a:rPr>
            <a:t> must be submitted and signed with the updated information.</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Any of the request forms may be routed through DocuSign for completion</a:t>
          </a:r>
        </a:p>
        <a:p>
          <a:endParaRPr lang="en-US" sz="1100">
            <a:solidFill>
              <a:sysClr val="windowText" lastClr="000000"/>
            </a:solidFill>
            <a:effectLst/>
            <a:latin typeface="+mn-lt"/>
            <a:ea typeface="+mn-ea"/>
            <a:cs typeface="+mn-cs"/>
          </a:endParaRPr>
        </a:p>
        <a:p>
          <a:r>
            <a:rPr lang="en-US" sz="1200" b="1">
              <a:solidFill>
                <a:sysClr val="windowText" lastClr="000000"/>
              </a:solidFill>
              <a:effectLst/>
              <a:latin typeface="+mn-lt"/>
              <a:ea typeface="+mn-ea"/>
              <a:cs typeface="+mn-cs"/>
            </a:rPr>
            <a:t>Workflow</a:t>
          </a:r>
          <a:r>
            <a:rPr lang="en-US" sz="1200">
              <a:solidFill>
                <a:sysClr val="windowText" lastClr="000000"/>
              </a:solidFill>
              <a:effectLst/>
              <a:latin typeface="+mn-lt"/>
              <a:ea typeface="+mn-ea"/>
              <a:cs typeface="+mn-cs"/>
            </a:rPr>
            <a:t>:  </a:t>
          </a:r>
        </a:p>
        <a:p>
          <a:r>
            <a:rPr lang="en-US" sz="1100">
              <a:solidFill>
                <a:sysClr val="windowText" lastClr="000000"/>
              </a:solidFill>
              <a:effectLst/>
              <a:latin typeface="+mn-lt"/>
              <a:ea typeface="+mn-ea"/>
              <a:cs typeface="+mn-cs"/>
            </a:rPr>
            <a:t>First, note whether the faculty member</a:t>
          </a:r>
          <a:r>
            <a:rPr lang="en-US" sz="1100" baseline="0">
              <a:solidFill>
                <a:sysClr val="windowText" lastClr="000000"/>
              </a:solidFill>
              <a:effectLst/>
              <a:latin typeface="+mn-lt"/>
              <a:ea typeface="+mn-ea"/>
              <a:cs typeface="+mn-cs"/>
            </a:rPr>
            <a:t> has an admin  appointment and if they do, if they plan to teach this summer.  Any faculty members with admin appointments that may teach can use the admin appointment to increase their 1/9th and 3/9th limits by a small amount.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This is found as an HCM page with the following navigation for HCM Users: </a:t>
          </a:r>
        </a:p>
        <a:p>
          <a:r>
            <a:rPr lang="en-US" sz="1100" baseline="0">
              <a:solidFill>
                <a:sysClr val="windowText" lastClr="000000"/>
              </a:solidFill>
              <a:effectLst/>
              <a:latin typeface="+mn-lt"/>
              <a:ea typeface="+mn-ea"/>
              <a:cs typeface="+mn-cs"/>
            </a:rPr>
            <a:t>	- HCM -&gt; "Hamburger" Menu, top right button -&gt; Navigator -&gt; Workforce Administration -</a:t>
          </a:r>
        </a:p>
        <a:p>
          <a:r>
            <a:rPr lang="en-US" sz="1100" baseline="0">
              <a:solidFill>
                <a:sysClr val="windowText" lastClr="000000"/>
              </a:solidFill>
              <a:effectLst/>
              <a:latin typeface="+mn-lt"/>
              <a:ea typeface="+mn-ea"/>
              <a:cs typeface="+mn-cs"/>
            </a:rPr>
            <a:t>	-&gt; CU Workforce Administration -&gt; CU Institutional Based Salary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Faculty members will have a tile on their MyCUInfo Login page to view their own.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If a Faculty member does not have an admin appointment, you do not need to look up the modified IBS.  If a Faculty member has an admin appointment but has no plans to teach this summer, you do not need to look up the modified IBS.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A change in salary at any point through an academic year will result in a change of the </a:t>
          </a:r>
          <a:r>
            <a:rPr lang="en-US" sz="1100">
              <a:solidFill>
                <a:schemeClr val="dk1"/>
              </a:solidFill>
              <a:effectLst/>
              <a:latin typeface="+mn-lt"/>
              <a:ea typeface="+mn-ea"/>
              <a:cs typeface="+mn-cs"/>
            </a:rPr>
            <a:t>for 3/9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1/9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limits. In order to account for these changes, multiple data inputs are available to adjust limits accordingly. Please be sure to enter the correct salaries for the start of the academic</a:t>
          </a:r>
          <a:r>
            <a:rPr lang="en-US" sz="1100" baseline="0">
              <a:solidFill>
                <a:schemeClr val="dk1"/>
              </a:solidFill>
              <a:effectLst/>
              <a:latin typeface="+mn-lt"/>
              <a:ea typeface="+mn-ea"/>
              <a:cs typeface="+mn-cs"/>
            </a:rPr>
            <a:t> year (August) and for any midyear (January) increases that may have occured</a:t>
          </a:r>
          <a:r>
            <a:rPr lang="en-US" sz="1100">
              <a:solidFill>
                <a:schemeClr val="dk1"/>
              </a:solidFill>
              <a:effectLst/>
              <a:latin typeface="+mn-lt"/>
              <a:ea typeface="+mn-ea"/>
              <a:cs typeface="+mn-cs"/>
            </a:rPr>
            <a:t> in order to have the most accurate result. If the faculty member is also receiving a</a:t>
          </a:r>
          <a:r>
            <a:rPr lang="en-US" sz="1100" baseline="0">
              <a:solidFill>
                <a:schemeClr val="dk1"/>
              </a:solidFill>
              <a:effectLst/>
              <a:latin typeface="+mn-lt"/>
              <a:ea typeface="+mn-ea"/>
              <a:cs typeface="+mn-cs"/>
            </a:rPr>
            <a:t> pay increase in the upcoming academic year, please use the appropriate dropdown to update this information.</a:t>
          </a:r>
          <a:endParaRPr lang="en-US" sz="1100">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 this tool to work as intended, start with inputing data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to input the compensation totals for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 any teaching contracts and any other summer salary (research, curation, etc.).  This sheet will highlight any overages in compensation when compared to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limits.  There are areas for vacation days to denote any working days not taken.  This entry will</a:t>
          </a:r>
          <a:r>
            <a:rPr lang="en-US" sz="1100" baseline="0">
              <a:solidFill>
                <a:sysClr val="windowText" lastClr="000000"/>
              </a:solidFill>
              <a:effectLst/>
              <a:latin typeface="+mn-lt"/>
              <a:ea typeface="+mn-ea"/>
              <a:cs typeface="+mn-cs"/>
            </a:rPr>
            <a:t> adjust the monthly allowed limit per summer compensation guidelines but not change compensation taken.  This sheet is to be used if a faculty member takes </a:t>
          </a:r>
          <a:r>
            <a:rPr lang="en-US" sz="1100" b="1" baseline="0">
              <a:solidFill>
                <a:sysClr val="windowText" lastClr="000000"/>
              </a:solidFill>
              <a:effectLst/>
              <a:latin typeface="+mn-lt"/>
              <a:ea typeface="+mn-ea"/>
              <a:cs typeface="+mn-cs"/>
            </a:rPr>
            <a:t>teaching and/or research funding </a:t>
          </a:r>
          <a:r>
            <a:rPr lang="en-US" sz="1100" b="0" baseline="0">
              <a:solidFill>
                <a:sysClr val="windowText" lastClr="000000"/>
              </a:solidFill>
              <a:effectLst/>
              <a:latin typeface="+mn-lt"/>
              <a:ea typeface="+mn-ea"/>
              <a:cs typeface="+mn-cs"/>
            </a:rPr>
            <a:t>in order to be within limits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If the entry is being made for a faculty member with</a:t>
          </a:r>
          <a:r>
            <a:rPr lang="en-US" sz="1100" u="sng" baseline="0">
              <a:solidFill>
                <a:sysClr val="windowText" lastClr="000000"/>
              </a:solidFill>
              <a:effectLst/>
              <a:latin typeface="+mn-lt"/>
              <a:ea typeface="+mn-ea"/>
              <a:cs typeface="+mn-cs"/>
            </a:rPr>
            <a:t> only </a:t>
          </a:r>
          <a:r>
            <a:rPr lang="en-US" sz="1100" b="1" u="sng" baseline="0">
              <a:solidFill>
                <a:sysClr val="windowText" lastClr="000000"/>
              </a:solidFill>
              <a:effectLst/>
              <a:latin typeface="+mn-lt"/>
              <a:ea typeface="+mn-ea"/>
              <a:cs typeface="+mn-cs"/>
            </a:rPr>
            <a:t>teaching</a:t>
          </a:r>
          <a:r>
            <a:rPr lang="en-US" sz="1100" b="0" u="sng" baseline="0">
              <a:solidFill>
                <a:sysClr val="windowText" lastClr="000000"/>
              </a:solidFill>
              <a:effectLst/>
              <a:latin typeface="+mn-lt"/>
              <a:ea typeface="+mn-ea"/>
              <a:cs typeface="+mn-cs"/>
            </a:rPr>
            <a:t> summer salary, there is no requirement to finish the funding distribution or summer request form.  </a:t>
          </a:r>
          <a:endParaRPr lang="en-US" sz="1100" u="sng">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This information will feed into both the Summer Request Form, and the Funding Distribution page</a:t>
          </a:r>
          <a:r>
            <a:rPr lang="en-US" sz="1100" u="sng">
              <a:solidFill>
                <a:sysClr val="windowText" lastClr="000000"/>
              </a:solidFill>
              <a:effectLst/>
              <a:latin typeface="+mn-lt"/>
              <a:ea typeface="+mn-ea"/>
              <a:cs typeface="+mn-cs"/>
            </a:rPr>
            <a:t>.  If</a:t>
          </a:r>
          <a:r>
            <a:rPr lang="en-US" sz="1100" u="sng" baseline="0">
              <a:solidFill>
                <a:sysClr val="windowText" lastClr="000000"/>
              </a:solidFill>
              <a:effectLst/>
              <a:latin typeface="+mn-lt"/>
              <a:ea typeface="+mn-ea"/>
              <a:cs typeface="+mn-cs"/>
            </a:rPr>
            <a:t> there are any research dollars earned in the summer, please continue to the Funding Distribution Page</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This is done by entering the speedtypes (names optional), and the percentage allocation in the corresponding months.  These will feed over to the request form as well.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On this funding distribution sheet is also an optional "Budget Tracking" section.  </a:t>
          </a:r>
          <a:r>
            <a:rPr lang="en-US" sz="1100">
              <a:solidFill>
                <a:sysClr val="windowText" lastClr="000000"/>
              </a:solidFill>
              <a:effectLst/>
              <a:latin typeface="+mn-lt"/>
              <a:ea typeface="+mn-ea"/>
              <a:cs typeface="+mn-cs"/>
            </a:rPr>
            <a:t>This section is to be used if you have specific funding goals for the summer compensation.  The goals will search</a:t>
          </a:r>
          <a:r>
            <a:rPr lang="en-US" sz="1100" baseline="0">
              <a:solidFill>
                <a:sysClr val="windowText" lastClr="000000"/>
              </a:solidFill>
              <a:effectLst/>
              <a:latin typeface="+mn-lt"/>
              <a:ea typeface="+mn-ea"/>
              <a:cs typeface="+mn-cs"/>
            </a:rPr>
            <a:t> for speedtypes entered in the summer months and speedtypes entered in the "Goals" section.  There is a limit to 6 different unique goals to use for this section, but no limit in the funding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Continue to fill in the funding distribution for any research salary taken.  There will be an option to enter either compensation amount or the perentage of funding.  Please do not enter both!  Either amount will convert to the Summer Request Form.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After necessary fields are entered on the Compensation Planning and Funding Distribution pages, complete the Summer Request form with employee information and verify the totals have fed correctly from the other pages.  Save as PDF or print and sign for completion.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All other documents relevant</a:t>
          </a:r>
          <a:r>
            <a:rPr lang="en-US" sz="1100" baseline="0">
              <a:solidFill>
                <a:sysClr val="windowText" lastClr="000000"/>
              </a:solidFill>
              <a:effectLst/>
              <a:latin typeface="+mn-lt"/>
              <a:ea typeface="+mn-ea"/>
              <a:cs typeface="+mn-cs"/>
            </a:rPr>
            <a:t> to the summer compensation (teaching, research, 3/9ths policy, etc.) can be found here: </a:t>
          </a:r>
        </a:p>
        <a:p>
          <a:r>
            <a:rPr lang="en-US" sz="1100">
              <a:solidFill>
                <a:sysClr val="windowText" lastClr="000000"/>
              </a:solidFill>
              <a:effectLst/>
              <a:latin typeface="+mn-lt"/>
              <a:ea typeface="+mn-ea"/>
              <a:cs typeface="+mn-cs"/>
            </a:rPr>
            <a:t>https://www.colorado.edu/academicaffairs/academic-resources </a:t>
          </a:r>
        </a:p>
        <a:p>
          <a:endParaRPr lang="en-US" sz="1100">
            <a:solidFill>
              <a:sysClr val="windowText" lastClr="000000"/>
            </a:solidFill>
            <a:effectLst/>
            <a:latin typeface="+mn-lt"/>
            <a:ea typeface="+mn-ea"/>
            <a:cs typeface="+mn-cs"/>
          </a:endParaRPr>
        </a:p>
        <a:p>
          <a:endParaRPr lang="en-US" sz="1100">
            <a:solidFill>
              <a:sysClr val="windowText" lastClr="000000"/>
            </a:solidFill>
          </a:endParaRPr>
        </a:p>
      </xdr:txBody>
    </xdr:sp>
    <xdr:clientData/>
  </xdr:twoCellAnchor>
  <xdr:twoCellAnchor editAs="oneCell">
    <xdr:from>
      <xdr:col>11</xdr:col>
      <xdr:colOff>432592</xdr:colOff>
      <xdr:row>1</xdr:row>
      <xdr:rowOff>31749</xdr:rowOff>
    </xdr:from>
    <xdr:to>
      <xdr:col>22</xdr:col>
      <xdr:colOff>0</xdr:colOff>
      <xdr:row>27</xdr:row>
      <xdr:rowOff>34395</xdr:rowOff>
    </xdr:to>
    <xdr:pic>
      <xdr:nvPicPr>
        <xdr:cNvPr id="3" name="Picture 2">
          <a:extLst>
            <a:ext uri="{FF2B5EF4-FFF2-40B4-BE49-F238E27FC236}">
              <a16:creationId xmlns:a16="http://schemas.microsoft.com/office/drawing/2014/main" id="{60B5AD30-5CDD-40E2-8ABF-A5203154FE11}"/>
            </a:ext>
          </a:extLst>
        </xdr:cNvPr>
        <xdr:cNvPicPr>
          <a:picLocks noChangeAspect="1"/>
        </xdr:cNvPicPr>
      </xdr:nvPicPr>
      <xdr:blipFill>
        <a:blip xmlns:r="http://schemas.openxmlformats.org/officeDocument/2006/relationships" r:embed="rId1"/>
        <a:stretch>
          <a:fillRect/>
        </a:stretch>
      </xdr:blipFill>
      <xdr:spPr>
        <a:xfrm>
          <a:off x="7168672" y="199389"/>
          <a:ext cx="6273008" cy="4422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233796</xdr:colOff>
      <xdr:row>0</xdr:row>
      <xdr:rowOff>138544</xdr:rowOff>
    </xdr:from>
    <xdr:to>
      <xdr:col>18</xdr:col>
      <xdr:colOff>515216</xdr:colOff>
      <xdr:row>15</xdr:row>
      <xdr:rowOff>104775</xdr:rowOff>
    </xdr:to>
    <xdr:sp macro="" textlink="">
      <xdr:nvSpPr>
        <xdr:cNvPr id="3" name="TextBox 2">
          <a:extLst>
            <a:ext uri="{FF2B5EF4-FFF2-40B4-BE49-F238E27FC236}">
              <a16:creationId xmlns:a16="http://schemas.microsoft.com/office/drawing/2014/main" id="{C157CD23-843B-4816-8AE0-C49681123902}"/>
            </a:ext>
          </a:extLst>
        </xdr:cNvPr>
        <xdr:cNvSpPr txBox="1"/>
      </xdr:nvSpPr>
      <xdr:spPr>
        <a:xfrm>
          <a:off x="14226021" y="138544"/>
          <a:ext cx="4643870" cy="3004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NIH Salary Table Information</a:t>
          </a:r>
          <a:endParaRPr lang="en-US" sz="1000" b="1" baseline="0">
            <a:latin typeface="Arial" panose="020B0604020202020204" pitchFamily="34" charset="0"/>
            <a:cs typeface="Arial" panose="020B0604020202020204" pitchFamily="34" charset="0"/>
          </a:endParaRPr>
        </a:p>
        <a:p>
          <a:r>
            <a:rPr lang="en-US" sz="1000" b="0" i="1" baseline="0">
              <a:latin typeface="Arial" panose="020B0604020202020204" pitchFamily="34" charset="0"/>
              <a:cs typeface="Arial" panose="020B0604020202020204" pitchFamily="34" charset="0"/>
            </a:rPr>
            <a:t>The NIH salary cap must be taken in to consideration when planning summer salary for research activities. For personnel with a CU salary that is more than the NIH salary cap, a CU salary source must accompany the NIH salary source to fund the difference between the CU salary and NIH salary cap.</a:t>
          </a:r>
          <a:r>
            <a:rPr lang="en-US" sz="1000" b="0" i="0" baseline="0">
              <a:latin typeface="Arial" panose="020B0604020202020204" pitchFamily="34" charset="0"/>
              <a:cs typeface="Arial" panose="020B0604020202020204" pitchFamily="34" charset="0"/>
            </a:rPr>
            <a:t> </a:t>
          </a:r>
          <a:r>
            <a:rPr lang="en-US" sz="1000" b="0" i="1" baseline="0">
              <a:latin typeface="Arial" panose="020B0604020202020204" pitchFamily="34" charset="0"/>
              <a:cs typeface="Arial" panose="020B0604020202020204" pitchFamily="34" charset="0"/>
            </a:rPr>
            <a:t>The NIH Salary Table and formulas in the tables below assist with calcuations.</a:t>
          </a:r>
        </a:p>
        <a:p>
          <a:r>
            <a:rPr lang="en-US" sz="800" b="0" i="1" baseline="0">
              <a:latin typeface="Arial" panose="020B0604020202020204" pitchFamily="34" charset="0"/>
              <a:cs typeface="Arial" panose="020B0604020202020204" pitchFamily="34" charset="0"/>
            </a:rPr>
            <a:t>  </a:t>
          </a:r>
        </a:p>
        <a:p>
          <a:r>
            <a:rPr lang="en-US" sz="1000" b="1" baseline="0">
              <a:latin typeface="Arial" panose="020B0604020202020204" pitchFamily="34" charset="0"/>
              <a:cs typeface="Arial" panose="020B0604020202020204" pitchFamily="34" charset="0"/>
            </a:rPr>
            <a:t>- </a:t>
          </a:r>
          <a:r>
            <a:rPr lang="en-US" sz="1000" b="0" u="sng" baseline="0">
              <a:latin typeface="Arial" panose="020B0604020202020204" pitchFamily="34" charset="0"/>
              <a:cs typeface="Arial" panose="020B0604020202020204" pitchFamily="34" charset="0"/>
            </a:rPr>
            <a:t>12 Month Base Salary</a:t>
          </a:r>
          <a:r>
            <a:rPr lang="en-US" sz="1000" b="0" baseline="0">
              <a:latin typeface="Arial" panose="020B0604020202020204" pitchFamily="34" charset="0"/>
              <a:cs typeface="Arial" panose="020B0604020202020204" pitchFamily="34" charset="0"/>
            </a:rPr>
            <a:t>: Data pulls from Compensation Planning Tool Tab</a:t>
          </a:r>
        </a:p>
        <a:p>
          <a:r>
            <a:rPr lang="en-US" sz="1000" b="0" baseline="0">
              <a:latin typeface="Arial" panose="020B0604020202020204" pitchFamily="34" charset="0"/>
              <a:cs typeface="Arial" panose="020B0604020202020204" pitchFamily="34" charset="0"/>
            </a:rPr>
            <a:t>- </a:t>
          </a:r>
          <a:r>
            <a:rPr lang="en-US" sz="1000" b="0" u="sng" baseline="0">
              <a:latin typeface="Arial" panose="020B0604020202020204" pitchFamily="34" charset="0"/>
              <a:cs typeface="Arial" panose="020B0604020202020204" pitchFamily="34" charset="0"/>
            </a:rPr>
            <a:t>NIH Salary 2026 Cap</a:t>
          </a:r>
          <a:r>
            <a:rPr lang="en-US" sz="1000" b="0" baseline="0">
              <a:latin typeface="Arial" panose="020B0604020202020204" pitchFamily="34" charset="0"/>
              <a:cs typeface="Arial" panose="020B0604020202020204" pitchFamily="34" charset="0"/>
            </a:rPr>
            <a:t>: Data auto-populates when "Does summer effort include NIH support?" checkbox is selected</a:t>
          </a:r>
        </a:p>
        <a:p>
          <a:r>
            <a:rPr lang="en-US" sz="1000" b="0" baseline="0">
              <a:latin typeface="Arial" panose="020B0604020202020204" pitchFamily="34" charset="0"/>
              <a:cs typeface="Arial" panose="020B0604020202020204" pitchFamily="34" charset="0"/>
            </a:rPr>
            <a:t>- </a:t>
          </a:r>
          <a:r>
            <a:rPr lang="en-US" sz="1000" b="0" u="sng" baseline="0">
              <a:latin typeface="Arial" panose="020B0604020202020204" pitchFamily="34" charset="0"/>
              <a:cs typeface="Arial" panose="020B0604020202020204" pitchFamily="34" charset="0"/>
            </a:rPr>
            <a:t>Does summer effort include NIH support?</a:t>
          </a:r>
          <a:r>
            <a:rPr lang="en-US" sz="1000" b="0" u="none" baseline="0">
              <a:latin typeface="Arial" panose="020B0604020202020204" pitchFamily="34" charset="0"/>
              <a:cs typeface="Arial" panose="020B0604020202020204" pitchFamily="34" charset="0"/>
            </a:rPr>
            <a:t> </a:t>
          </a:r>
          <a:r>
            <a:rPr lang="en-US" sz="1000" b="0" baseline="0">
              <a:latin typeface="Arial" panose="020B0604020202020204" pitchFamily="34" charset="0"/>
              <a:cs typeface="Arial" panose="020B0604020202020204" pitchFamily="34" charset="0"/>
            </a:rPr>
            <a:t>Click the check box if summer research effort will be funded by an NIH award</a:t>
          </a:r>
        </a:p>
        <a:p>
          <a:r>
            <a:rPr lang="en-US" sz="1000" b="0" baseline="0">
              <a:latin typeface="Arial" panose="020B0604020202020204" pitchFamily="34" charset="0"/>
              <a:cs typeface="Arial" panose="020B0604020202020204" pitchFamily="34" charset="0"/>
            </a:rPr>
            <a:t>- </a:t>
          </a:r>
          <a:r>
            <a:rPr lang="en-US" sz="1000" b="0" u="sng" baseline="0">
              <a:latin typeface="Arial" panose="020B0604020202020204" pitchFamily="34" charset="0"/>
              <a:cs typeface="Arial" panose="020B0604020202020204" pitchFamily="34" charset="0"/>
            </a:rPr>
            <a:t>12 Month Base Salary exceeds the NIH Salary Cap</a:t>
          </a:r>
          <a:r>
            <a:rPr lang="en-US" sz="1000" b="0" u="none" baseline="0">
              <a:latin typeface="Arial" panose="020B0604020202020204" pitchFamily="34" charset="0"/>
              <a:cs typeface="Arial" panose="020B0604020202020204" pitchFamily="34" charset="0"/>
            </a:rPr>
            <a:t>: </a:t>
          </a:r>
          <a:r>
            <a:rPr lang="en-US" sz="1000" b="0" baseline="0">
              <a:latin typeface="Arial" panose="020B0604020202020204" pitchFamily="34" charset="0"/>
              <a:cs typeface="Arial" panose="020B0604020202020204" pitchFamily="34" charset="0"/>
            </a:rPr>
            <a:t> "Yes" or "No" autopopulates depending on if the 12 Month Base Salary (K3) is greater than the NIH Cap (K4) or not. </a:t>
          </a:r>
        </a:p>
        <a:p>
          <a:r>
            <a:rPr lang="en-US" sz="1000" b="0" baseline="0">
              <a:latin typeface="Arial" panose="020B0604020202020204" pitchFamily="34" charset="0"/>
              <a:cs typeface="Arial" panose="020B0604020202020204" pitchFamily="34" charset="0"/>
            </a:rPr>
            <a:t>- IMPORTANT: This worksheet uses percentage of salary. This worksheet does not calculate effort for sponsor forms or ePERS.</a:t>
          </a:r>
        </a:p>
        <a:p>
          <a:r>
            <a:rPr lang="en-US" sz="1000" b="0" baseline="0">
              <a:latin typeface="Arial" panose="020B0604020202020204" pitchFamily="34" charset="0"/>
              <a:cs typeface="Arial" panose="020B0604020202020204" pitchFamily="34" charset="0"/>
            </a:rPr>
            <a:t>- If you have cases not accounted for in this spreadsheet (e.g., salary increase during the summer or non-NIH projects that have a federal salary cap) contact alexa.vandalsem@colorado.edu if assistance is needed..</a:t>
          </a:r>
        </a:p>
      </xdr:txBody>
    </xdr:sp>
    <xdr:clientData/>
  </xdr:twoCellAnchor>
  <xdr:twoCellAnchor>
    <xdr:from>
      <xdr:col>10</xdr:col>
      <xdr:colOff>363681</xdr:colOff>
      <xdr:row>22</xdr:row>
      <xdr:rowOff>11254</xdr:rowOff>
    </xdr:from>
    <xdr:to>
      <xdr:col>16</xdr:col>
      <xdr:colOff>233795</xdr:colOff>
      <xdr:row>37</xdr:row>
      <xdr:rowOff>171449</xdr:rowOff>
    </xdr:to>
    <xdr:sp macro="" textlink="">
      <xdr:nvSpPr>
        <xdr:cNvPr id="2" name="TextBox 1">
          <a:extLst>
            <a:ext uri="{FF2B5EF4-FFF2-40B4-BE49-F238E27FC236}">
              <a16:creationId xmlns:a16="http://schemas.microsoft.com/office/drawing/2014/main" id="{8EB481EB-A228-4D53-805B-57B53F2196BD}"/>
            </a:ext>
          </a:extLst>
        </xdr:cNvPr>
        <xdr:cNvSpPr txBox="1"/>
      </xdr:nvSpPr>
      <xdr:spPr>
        <a:xfrm>
          <a:off x="13422456" y="4221304"/>
          <a:ext cx="3946814" cy="320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Arial" panose="020B0604020202020204" pitchFamily="34" charset="0"/>
              <a:cs typeface="Arial" panose="020B0604020202020204" pitchFamily="34" charset="0"/>
            </a:rPr>
            <a:t>Read</a:t>
          </a:r>
          <a:r>
            <a:rPr lang="en-US" sz="1000" b="1" u="sng" baseline="0">
              <a:latin typeface="Arial" panose="020B0604020202020204" pitchFamily="34" charset="0"/>
              <a:cs typeface="Arial" panose="020B0604020202020204" pitchFamily="34" charset="0"/>
            </a:rPr>
            <a:t> first</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If summer effort does NOT</a:t>
          </a:r>
          <a:r>
            <a:rPr lang="en-US" sz="1000" b="1" baseline="0">
              <a:latin typeface="Arial" panose="020B0604020202020204" pitchFamily="34" charset="0"/>
              <a:cs typeface="Arial" panose="020B0604020202020204" pitchFamily="34" charset="0"/>
            </a:rPr>
            <a:t> include NIH or does include NIH but CUB salary is under the NIH salary cap:</a:t>
          </a:r>
        </a:p>
        <a:p>
          <a:pPr marL="171450" indent="-171450">
            <a:buFont typeface="Arial" panose="020B0604020202020204" pitchFamily="34" charset="0"/>
            <a:buChar char="•"/>
          </a:pPr>
          <a:r>
            <a:rPr lang="en-US" sz="1000" b="0" baseline="0">
              <a:latin typeface="Arial" panose="020B0604020202020204" pitchFamily="34" charset="0"/>
              <a:cs typeface="Arial" panose="020B0604020202020204" pitchFamily="34" charset="0"/>
            </a:rPr>
            <a:t>In blue sections, fill in any order and write over prefilled cells.</a:t>
          </a:r>
        </a:p>
        <a:p>
          <a:endParaRPr lang="en-US" sz="1000" b="0">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If summer effort includes NIH support AND CUB salary is over NIH Salary cap, a CUB</a:t>
          </a:r>
          <a:r>
            <a:rPr lang="en-US" sz="1000" b="1" baseline="0">
              <a:latin typeface="Arial" panose="020B0604020202020204" pitchFamily="34" charset="0"/>
              <a:cs typeface="Arial" panose="020B0604020202020204" pitchFamily="34" charset="0"/>
            </a:rPr>
            <a:t> salary source </a:t>
          </a:r>
          <a:r>
            <a:rPr lang="en-US" sz="1000" b="1" u="sng" baseline="0">
              <a:latin typeface="Arial" panose="020B0604020202020204" pitchFamily="34" charset="0"/>
              <a:cs typeface="Arial" panose="020B0604020202020204" pitchFamily="34" charset="0"/>
            </a:rPr>
            <a:t>must</a:t>
          </a:r>
          <a:r>
            <a:rPr lang="en-US" sz="1000" b="1" baseline="0">
              <a:latin typeface="Arial" panose="020B0604020202020204" pitchFamily="34" charset="0"/>
              <a:cs typeface="Arial" panose="020B0604020202020204" pitchFamily="34" charset="0"/>
            </a:rPr>
            <a:t> accompany the NIH salary</a:t>
          </a:r>
          <a:r>
            <a:rPr lang="en-US" sz="1000" b="1">
              <a:latin typeface="Arial" panose="020B0604020202020204" pitchFamily="34" charset="0"/>
              <a:cs typeface="Arial" panose="020B0604020202020204" pitchFamily="34" charset="0"/>
            </a:rPr>
            <a:t>:</a:t>
          </a:r>
        </a:p>
        <a:p>
          <a:pPr marL="228600" indent="-228600">
            <a:buFont typeface="+mj-lt"/>
            <a:buAutoNum type="arabicPeriod"/>
          </a:pPr>
          <a:r>
            <a:rPr lang="en-US" sz="1000">
              <a:latin typeface="Arial" panose="020B0604020202020204" pitchFamily="34" charset="0"/>
              <a:cs typeface="Arial" panose="020B0604020202020204" pitchFamily="34" charset="0"/>
            </a:rPr>
            <a:t>Enter the NIH project</a:t>
          </a:r>
          <a:r>
            <a:rPr lang="en-US" sz="1000" baseline="0">
              <a:latin typeface="Arial" panose="020B0604020202020204" pitchFamily="34" charset="0"/>
              <a:cs typeface="Arial" panose="020B0604020202020204" pitchFamily="34" charset="0"/>
            </a:rPr>
            <a:t> Speedtype and Name on a row with "NIH" indicated as the Funding Source</a:t>
          </a:r>
        </a:p>
        <a:p>
          <a:pPr marL="228600" indent="-228600">
            <a:buFont typeface="+mj-lt"/>
            <a:buAutoNum type="arabicPeriod"/>
          </a:pPr>
          <a:r>
            <a:rPr lang="en-US" sz="1000" baseline="0">
              <a:latin typeface="Arial" panose="020B0604020202020204" pitchFamily="34" charset="0"/>
              <a:cs typeface="Arial" panose="020B0604020202020204" pitchFamily="34" charset="0"/>
            </a:rPr>
            <a:t>If CU 12 month base salary exceeds the NIH salary cap, in the row below the NIH project [Enter Project Name] will change to "CU Salary Source for NIH Award" </a:t>
          </a:r>
        </a:p>
        <a:p>
          <a:pPr marL="228600" indent="-228600">
            <a:buFont typeface="+mj-lt"/>
            <a:buAutoNum type="arabicPeriod"/>
          </a:pPr>
          <a:r>
            <a:rPr lang="en-US" sz="1000" baseline="0">
              <a:latin typeface="Arial" panose="020B0604020202020204" pitchFamily="34" charset="0"/>
              <a:cs typeface="Arial" panose="020B0604020202020204" pitchFamily="34" charset="0"/>
            </a:rPr>
            <a:t>For the NIH project, enter percent or amount of salary to be charged to the NIH project Speedtype (column F or G) at an amount that does not exceed the NIH Salary 2026 Cap Monthly amount (cell K4) from all NIH sources.</a:t>
          </a:r>
        </a:p>
        <a:p>
          <a:pPr marL="228600" indent="-228600">
            <a:buFont typeface="+mj-lt"/>
            <a:buAutoNum type="arabicPeriod"/>
          </a:pPr>
          <a:r>
            <a:rPr lang="en-US" sz="1000" baseline="0">
              <a:latin typeface="Arial" panose="020B0604020202020204" pitchFamily="34" charset="0"/>
              <a:cs typeface="Arial" panose="020B0604020202020204" pitchFamily="34" charset="0"/>
            </a:rPr>
            <a:t>For the CU Salary Source, select "CUB" as the Funding Source. </a:t>
          </a:r>
          <a:r>
            <a:rPr lang="en-US" sz="1000" baseline="0">
              <a:solidFill>
                <a:schemeClr val="dk1"/>
              </a:solidFill>
              <a:effectLst/>
              <a:latin typeface="Arial" panose="020B0604020202020204" pitchFamily="34" charset="0"/>
              <a:ea typeface="+mn-ea"/>
              <a:cs typeface="Arial" panose="020B0604020202020204" pitchFamily="34" charset="0"/>
            </a:rPr>
            <a:t>The project name can be changed.</a:t>
          </a:r>
          <a:endParaRPr lang="en-US" sz="1000" baseline="0">
            <a:latin typeface="Arial" panose="020B0604020202020204" pitchFamily="34" charset="0"/>
            <a:cs typeface="Arial" panose="020B0604020202020204" pitchFamily="34" charset="0"/>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000" baseline="0">
              <a:solidFill>
                <a:schemeClr val="dk1"/>
              </a:solidFill>
              <a:effectLst/>
              <a:latin typeface="Arial" panose="020B0604020202020204" pitchFamily="34" charset="0"/>
              <a:ea typeface="+mn-ea"/>
              <a:cs typeface="Arial" panose="020B0604020202020204" pitchFamily="34" charset="0"/>
            </a:rPr>
            <a:t>Salary for the CU Salary Source will autocalculate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000" baseline="0">
              <a:solidFill>
                <a:schemeClr val="dk1"/>
              </a:solidFill>
              <a:effectLst/>
              <a:latin typeface="Arial" panose="020B0604020202020204" pitchFamily="34" charset="0"/>
              <a:ea typeface="+mn-ea"/>
              <a:cs typeface="Arial" panose="020B0604020202020204" pitchFamily="34" charset="0"/>
            </a:rPr>
            <a:t>After all NIH salary is added, blue sections can be used for any other funding</a:t>
          </a:r>
          <a:endParaRPr lang="en-US" sz="1000" baseline="0">
            <a:latin typeface="Arial" panose="020B0604020202020204" pitchFamily="34" charset="0"/>
            <a:cs typeface="Arial" panose="020B0604020202020204" pitchFamily="34" charset="0"/>
          </a:endParaRPr>
        </a:p>
        <a:p>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olorado.edu/academicaffairs/media/1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CA6F-891A-40DB-8741-845E99A7D65C}">
  <dimension ref="A1:BT89"/>
  <sheetViews>
    <sheetView tabSelected="1" zoomScale="80" zoomScaleNormal="80" workbookViewId="0">
      <selection activeCell="O35" sqref="O35"/>
    </sheetView>
  </sheetViews>
  <sheetFormatPr defaultRowHeight="13.2" x14ac:dyDescent="0.25"/>
  <cols>
    <col min="1" max="2" width="9.109375" bestFit="1" customWidth="1"/>
    <col min="72" max="72" width="0" hidden="1" customWidth="1"/>
  </cols>
  <sheetData>
    <row r="1" spans="17:72" x14ac:dyDescent="0.25">
      <c r="BT1">
        <v>1</v>
      </c>
    </row>
    <row r="7" spans="17:72" ht="18" x14ac:dyDescent="0.35">
      <c r="Q7" s="387" t="s">
        <v>0</v>
      </c>
    </row>
    <row r="45" spans="14:14" ht="18" x14ac:dyDescent="0.35">
      <c r="N45" s="387" t="s">
        <v>0</v>
      </c>
    </row>
    <row r="86" spans="1:3" x14ac:dyDescent="0.25">
      <c r="A86" s="1" t="s">
        <v>200</v>
      </c>
    </row>
    <row r="87" spans="1:3" x14ac:dyDescent="0.25">
      <c r="A87" s="1" t="s">
        <v>201</v>
      </c>
      <c r="B87" s="1" t="s">
        <v>202</v>
      </c>
      <c r="C87" s="1" t="s">
        <v>203</v>
      </c>
    </row>
    <row r="88" spans="1:3" x14ac:dyDescent="0.25">
      <c r="A88" s="72" t="s">
        <v>204</v>
      </c>
      <c r="B88" s="72">
        <v>46107</v>
      </c>
      <c r="C88" t="s">
        <v>205</v>
      </c>
    </row>
    <row r="89" spans="1:3" x14ac:dyDescent="0.25">
      <c r="A89" t="s">
        <v>206</v>
      </c>
      <c r="B89" s="72">
        <v>46184</v>
      </c>
      <c r="C89" t="s">
        <v>208</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97"/>
  <sheetViews>
    <sheetView zoomScale="80" zoomScaleNormal="80" workbookViewId="0">
      <selection activeCell="H45" sqref="H45"/>
    </sheetView>
  </sheetViews>
  <sheetFormatPr defaultColWidth="9" defaultRowHeight="13.2" x14ac:dyDescent="0.25"/>
  <cols>
    <col min="1" max="1" width="21.21875" customWidth="1"/>
    <col min="2" max="2" width="26.21875" customWidth="1"/>
    <col min="3" max="3" width="19.21875" bestFit="1" customWidth="1"/>
    <col min="4" max="4" width="27.5546875" style="65" customWidth="1"/>
    <col min="5" max="5" width="32.77734375" customWidth="1"/>
    <col min="6" max="6" width="27.77734375" customWidth="1"/>
    <col min="7" max="7" width="11.77734375" bestFit="1" customWidth="1"/>
    <col min="8" max="8" width="14.5546875" customWidth="1"/>
    <col min="9" max="9" width="12.5546875" customWidth="1"/>
    <col min="10" max="10" width="10.21875" customWidth="1"/>
    <col min="11" max="11" width="3" customWidth="1"/>
    <col min="12" max="12" width="19.21875" customWidth="1"/>
    <col min="13" max="13" width="16.77734375" hidden="1" customWidth="1"/>
    <col min="14" max="14" width="29.5546875" hidden="1" customWidth="1"/>
    <col min="15" max="16" width="10" hidden="1" customWidth="1"/>
    <col min="17" max="17" width="14.21875" hidden="1" customWidth="1"/>
    <col min="18" max="18" width="17.33203125" hidden="1" customWidth="1"/>
    <col min="19" max="19" width="6" hidden="1" customWidth="1"/>
    <col min="20" max="20" width="10" hidden="1" customWidth="1"/>
    <col min="21" max="21" width="16.77734375" hidden="1" customWidth="1"/>
    <col min="22" max="22" width="25.77734375" hidden="1" customWidth="1"/>
    <col min="23" max="28" width="10" customWidth="1"/>
    <col min="29" max="29" width="7" customWidth="1"/>
    <col min="30" max="30" width="7.5546875" customWidth="1"/>
    <col min="31" max="32" width="5.21875" customWidth="1"/>
    <col min="33" max="36" width="9.5546875" customWidth="1"/>
    <col min="37" max="38" width="10" customWidth="1"/>
    <col min="39" max="39" width="11" customWidth="1"/>
    <col min="40" max="40" width="9.5546875" customWidth="1"/>
    <col min="41" max="41" width="26" hidden="1" customWidth="1"/>
    <col min="42" max="42" width="9.5546875" hidden="1" customWidth="1"/>
    <col min="43" max="43" width="2.5546875" hidden="1" customWidth="1"/>
    <col min="44" max="44" width="15.77734375" hidden="1" customWidth="1"/>
    <col min="45" max="45" width="10.77734375" hidden="1" customWidth="1"/>
    <col min="46" max="46" width="11.77734375" hidden="1" customWidth="1"/>
    <col min="47" max="47" width="9.77734375" hidden="1" customWidth="1"/>
    <col min="48" max="48" width="10.5546875" hidden="1" customWidth="1"/>
    <col min="49" max="49" width="11.77734375" hidden="1" customWidth="1"/>
    <col min="50" max="50" width="8.77734375" hidden="1" customWidth="1"/>
    <col min="51" max="51" width="9.77734375" hidden="1" customWidth="1"/>
    <col min="52" max="52" width="11.77734375" hidden="1" customWidth="1"/>
    <col min="53" max="53" width="9.5546875" hidden="1" customWidth="1"/>
    <col min="54" max="54" width="10.77734375" hidden="1" customWidth="1"/>
    <col min="55" max="56" width="11.77734375" hidden="1" customWidth="1"/>
    <col min="57" max="57" width="10.21875" hidden="1" customWidth="1"/>
    <col min="58" max="58" width="14" hidden="1" customWidth="1"/>
    <col min="59" max="59" width="11.77734375" hidden="1" customWidth="1"/>
    <col min="60" max="60" width="13" hidden="1" customWidth="1"/>
    <col min="61" max="61" width="11.5546875" hidden="1" customWidth="1"/>
    <col min="62" max="62" width="14" hidden="1" customWidth="1"/>
    <col min="63" max="63" width="11.77734375" hidden="1" customWidth="1"/>
    <col min="64" max="64" width="13" hidden="1" customWidth="1"/>
    <col min="65" max="66" width="10" hidden="1" customWidth="1"/>
    <col min="67" max="67" width="11.77734375" hidden="1" customWidth="1"/>
    <col min="68" max="68" width="13.21875" hidden="1" customWidth="1"/>
    <col min="69" max="69" width="9.77734375" hidden="1" customWidth="1"/>
    <col min="70" max="70" width="10" hidden="1" customWidth="1"/>
    <col min="71" max="71" width="11.77734375" hidden="1" customWidth="1"/>
    <col min="72" max="72" width="13.21875" hidden="1" customWidth="1"/>
    <col min="73" max="73" width="7.77734375" hidden="1" customWidth="1"/>
    <col min="74" max="74" width="13.21875" hidden="1" customWidth="1"/>
    <col min="75" max="75" width="11.21875" hidden="1" customWidth="1"/>
    <col min="76" max="76" width="13.21875" hidden="1" customWidth="1"/>
    <col min="77" max="77" width="11.21875" hidden="1" customWidth="1"/>
    <col min="78" max="78" width="13.21875" hidden="1" customWidth="1"/>
    <col min="79" max="79" width="11.21875" hidden="1" customWidth="1"/>
    <col min="80" max="80" width="13.21875" hidden="1" customWidth="1"/>
    <col min="81" max="82" width="13.5546875" hidden="1" customWidth="1"/>
    <col min="83" max="83" width="23" customWidth="1"/>
    <col min="84" max="84" width="47.77734375" customWidth="1"/>
    <col min="85" max="85" width="6.77734375" customWidth="1"/>
    <col min="86" max="87" width="8.77734375" customWidth="1"/>
    <col min="88" max="88" width="14.5546875" customWidth="1"/>
    <col min="89" max="183" width="9" customWidth="1"/>
  </cols>
  <sheetData>
    <row r="1" spans="1:87" s="1" customFormat="1" ht="13.8" x14ac:dyDescent="0.25">
      <c r="A1" s="175" t="s">
        <v>1</v>
      </c>
      <c r="B1" s="467"/>
      <c r="C1" s="467"/>
      <c r="D1" s="166" t="s">
        <v>2</v>
      </c>
      <c r="E1" s="159"/>
      <c r="F1" s="2" t="s">
        <v>3</v>
      </c>
      <c r="G1" s="3"/>
      <c r="J1" s="160"/>
      <c r="M1" s="4"/>
    </row>
    <row r="2" spans="1:87" s="1" customFormat="1" ht="13.8" x14ac:dyDescent="0.25">
      <c r="J2" s="160"/>
      <c r="M2" s="4"/>
    </row>
    <row r="3" spans="1:87" ht="13.5" customHeight="1" x14ac:dyDescent="0.25">
      <c r="A3" s="468" t="s">
        <v>4</v>
      </c>
      <c r="B3" s="468"/>
      <c r="C3" s="468"/>
      <c r="D3" s="468"/>
      <c r="E3" s="468"/>
      <c r="J3" s="4"/>
      <c r="N3" s="1" t="s">
        <v>161</v>
      </c>
      <c r="O3" s="18" t="s">
        <v>5</v>
      </c>
      <c r="P3" s="18" t="s">
        <v>6</v>
      </c>
      <c r="Q3" s="1" t="s">
        <v>7</v>
      </c>
      <c r="S3" s="1"/>
      <c r="T3" s="7"/>
      <c r="U3" s="1"/>
      <c r="V3" s="1"/>
      <c r="W3" s="1"/>
      <c r="X3" s="1"/>
      <c r="Y3" s="1"/>
    </row>
    <row r="4" spans="1:87" s="1" customFormat="1" ht="13.5" customHeight="1" x14ac:dyDescent="0.25">
      <c r="B4" s="469" t="s">
        <v>14</v>
      </c>
      <c r="C4" s="469"/>
      <c r="E4" s="196" t="s">
        <v>9</v>
      </c>
      <c r="F4"/>
      <c r="G4" s="482" t="s">
        <v>207</v>
      </c>
      <c r="H4" s="482"/>
      <c r="I4" s="482"/>
      <c r="N4" t="s">
        <v>10</v>
      </c>
      <c r="O4" s="116">
        <v>46143</v>
      </c>
      <c r="P4" s="116">
        <v>46173</v>
      </c>
      <c r="Q4" s="18">
        <f>NETWORKDAYS(O4,P4,0)</f>
        <v>21</v>
      </c>
      <c r="R4" s="5"/>
      <c r="S4" s="4"/>
      <c r="T4"/>
      <c r="U4"/>
      <c r="V4"/>
      <c r="W4"/>
      <c r="X4"/>
      <c r="Y4"/>
    </row>
    <row r="5" spans="1:87" s="1" customFormat="1" ht="13.8" x14ac:dyDescent="0.25">
      <c r="A5" s="468" t="s">
        <v>11</v>
      </c>
      <c r="B5" s="468"/>
      <c r="C5" s="468"/>
      <c r="D5" s="468"/>
      <c r="E5" s="196" t="s">
        <v>12</v>
      </c>
      <c r="N5" s="115" t="s">
        <v>13</v>
      </c>
      <c r="O5" s="116">
        <v>46174</v>
      </c>
      <c r="P5" s="116">
        <v>46203</v>
      </c>
      <c r="Q5" s="18">
        <f>NETWORKDAYS(O5,P5,0)</f>
        <v>22</v>
      </c>
      <c r="R5" s="18"/>
      <c r="S5" s="4"/>
      <c r="T5" s="18"/>
      <c r="AC5" s="8"/>
    </row>
    <row r="6" spans="1:87" s="1" customFormat="1" ht="13.5" customHeight="1" x14ac:dyDescent="0.25">
      <c r="B6" s="469" t="s">
        <v>14</v>
      </c>
      <c r="C6" s="469"/>
      <c r="E6" s="196" t="s">
        <v>15</v>
      </c>
      <c r="N6" s="115" t="s">
        <v>16</v>
      </c>
      <c r="O6" s="116">
        <v>46204</v>
      </c>
      <c r="P6" s="116">
        <v>46234</v>
      </c>
      <c r="Q6" s="18">
        <f>NETWORKDAYS(O6,P6,0)</f>
        <v>23</v>
      </c>
      <c r="R6" s="5"/>
      <c r="S6" s="4"/>
      <c r="T6"/>
      <c r="AC6" s="8"/>
    </row>
    <row r="7" spans="1:87" s="1" customFormat="1" ht="13.5" customHeight="1" x14ac:dyDescent="0.25">
      <c r="A7" s="474" t="s">
        <v>17</v>
      </c>
      <c r="B7" s="474"/>
      <c r="C7" s="474"/>
      <c r="E7" s="196" t="s">
        <v>18</v>
      </c>
      <c r="N7" s="115" t="s">
        <v>19</v>
      </c>
      <c r="O7" s="116">
        <v>46235</v>
      </c>
      <c r="P7" s="116">
        <v>46265</v>
      </c>
      <c r="Q7" s="18">
        <f>NETWORKDAYS(O7,P7,0)</f>
        <v>21</v>
      </c>
      <c r="R7" s="5"/>
      <c r="S7" s="4"/>
      <c r="T7"/>
      <c r="AC7" s="8"/>
    </row>
    <row r="8" spans="1:87" s="1" customFormat="1" ht="13.5" customHeight="1" x14ac:dyDescent="0.25">
      <c r="A8" s="472" t="s">
        <v>155</v>
      </c>
      <c r="B8" s="473"/>
      <c r="C8" s="267">
        <v>0</v>
      </c>
      <c r="D8" s="1" t="s">
        <v>20</v>
      </c>
      <c r="E8" s="196" t="s">
        <v>21</v>
      </c>
      <c r="N8" s="6"/>
      <c r="O8"/>
      <c r="P8"/>
      <c r="Q8"/>
      <c r="R8" s="5"/>
      <c r="S8" s="4"/>
      <c r="T8"/>
      <c r="AC8" s="8"/>
    </row>
    <row r="9" spans="1:87" s="1" customFormat="1" ht="13.5" customHeight="1" x14ac:dyDescent="0.25">
      <c r="A9" s="475" t="s">
        <v>170</v>
      </c>
      <c r="B9" s="475"/>
      <c r="C9" s="269"/>
      <c r="D9" s="1" t="s">
        <v>20</v>
      </c>
      <c r="E9" s="196" t="s">
        <v>22</v>
      </c>
      <c r="N9" s="378" t="s">
        <v>177</v>
      </c>
      <c r="O9" s="379"/>
      <c r="P9" s="379"/>
      <c r="Q9" s="379"/>
      <c r="R9" s="5"/>
      <c r="S9" s="4"/>
      <c r="T9"/>
      <c r="AC9" s="8"/>
    </row>
    <row r="10" spans="1:87" s="1" customFormat="1" ht="13.5" customHeight="1" x14ac:dyDescent="0.25">
      <c r="A10" s="475" t="s">
        <v>171</v>
      </c>
      <c r="B10" s="475"/>
      <c r="C10" s="283">
        <f>C9+C8</f>
        <v>0</v>
      </c>
      <c r="D10" s="1" t="s">
        <v>20</v>
      </c>
      <c r="E10" s="196" t="s">
        <v>23</v>
      </c>
      <c r="N10" s="380" t="s">
        <v>24</v>
      </c>
      <c r="O10" s="381">
        <v>46204</v>
      </c>
      <c r="P10" s="381">
        <v>46234</v>
      </c>
      <c r="Q10" s="382">
        <f>NETWORKDAYS(O10,P10,0)</f>
        <v>23</v>
      </c>
      <c r="R10" s="5"/>
      <c r="S10" s="4"/>
      <c r="T10"/>
      <c r="AH10" s="13"/>
      <c r="AO10" s="244"/>
      <c r="AP10" s="10"/>
      <c r="AQ10" s="10"/>
      <c r="AR10" s="9"/>
      <c r="AS10" s="9"/>
      <c r="AT10" s="9"/>
      <c r="AU10" s="9"/>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1"/>
    </row>
    <row r="11" spans="1:87" s="1" customFormat="1" ht="13.5" customHeight="1" x14ac:dyDescent="0.3">
      <c r="A11" s="480" t="s">
        <v>172</v>
      </c>
      <c r="B11" s="480"/>
      <c r="C11" s="272">
        <f>C10/3</f>
        <v>0</v>
      </c>
      <c r="E11" s="196" t="s">
        <v>25</v>
      </c>
      <c r="N11" s="380" t="s">
        <v>162</v>
      </c>
      <c r="O11" s="383">
        <v>46235</v>
      </c>
      <c r="P11" s="383">
        <v>46246</v>
      </c>
      <c r="Q11" s="382">
        <f>NETWORKDAYS(O11,P11,0)</f>
        <v>8</v>
      </c>
      <c r="R11" s="5"/>
      <c r="S11" s="4"/>
      <c r="T11"/>
      <c r="U11" t="s">
        <v>26</v>
      </c>
      <c r="V11"/>
      <c r="W11"/>
      <c r="X11"/>
      <c r="Y11"/>
      <c r="AF11"/>
      <c r="AO11" s="17"/>
      <c r="AR11" s="243" t="s">
        <v>27</v>
      </c>
      <c r="AS11" s="13"/>
      <c r="AT11" s="13"/>
      <c r="AU11" s="13"/>
      <c r="CD11" s="14"/>
    </row>
    <row r="12" spans="1:87" ht="13.5" customHeight="1" x14ac:dyDescent="0.25">
      <c r="A12" s="470" t="s">
        <v>163</v>
      </c>
      <c r="B12" s="471"/>
      <c r="C12" s="284">
        <f>C8/3</f>
        <v>0</v>
      </c>
      <c r="D12" s="250" t="s">
        <v>28</v>
      </c>
      <c r="E12" s="196" t="s">
        <v>29</v>
      </c>
      <c r="F12" s="197"/>
      <c r="G12" s="1"/>
      <c r="H12" s="1"/>
      <c r="I12" s="5"/>
      <c r="N12" s="380" t="s">
        <v>30</v>
      </c>
      <c r="O12" s="383">
        <v>46235</v>
      </c>
      <c r="P12" s="383">
        <v>46246</v>
      </c>
      <c r="Q12" s="382">
        <f>NETWORKDAYS(O12,P12,0)</f>
        <v>8</v>
      </c>
      <c r="R12" s="5"/>
      <c r="S12" s="52"/>
      <c r="U12" t="s">
        <v>31</v>
      </c>
      <c r="V12" s="115" t="s">
        <v>32</v>
      </c>
      <c r="Z12" s="8"/>
      <c r="AA12" s="8"/>
      <c r="AB12" s="8"/>
      <c r="AC12" s="8"/>
      <c r="AO12" s="15"/>
      <c r="BI12" t="s">
        <v>33</v>
      </c>
      <c r="CD12" s="16"/>
    </row>
    <row r="13" spans="1:87" ht="13.5" customHeight="1" x14ac:dyDescent="0.3">
      <c r="A13" s="480" t="s">
        <v>173</v>
      </c>
      <c r="B13" s="480"/>
      <c r="C13" s="285">
        <f xml:space="preserve"> C10/9</f>
        <v>0</v>
      </c>
      <c r="D13" s="18"/>
      <c r="I13" s="97"/>
      <c r="N13" s="380" t="s">
        <v>34</v>
      </c>
      <c r="O13" s="381">
        <v>46235</v>
      </c>
      <c r="P13" s="381">
        <v>46265</v>
      </c>
      <c r="Q13" s="382">
        <f>NETWORKDAYS(O13,P13,0)</f>
        <v>21</v>
      </c>
      <c r="R13" s="5"/>
      <c r="S13" s="55"/>
      <c r="U13" t="s">
        <v>35</v>
      </c>
      <c r="W13" s="8"/>
      <c r="X13" s="8"/>
      <c r="Y13" s="8"/>
      <c r="Z13" s="8"/>
      <c r="AA13" s="8"/>
      <c r="AB13" s="8"/>
      <c r="AF13" s="8"/>
      <c r="AO13" s="17" t="s">
        <v>36</v>
      </c>
      <c r="AR13" s="1"/>
      <c r="AS13" s="1"/>
      <c r="AT13" s="1"/>
      <c r="AU13" s="1"/>
      <c r="AV13" s="1"/>
      <c r="AW13" s="1"/>
      <c r="AX13" s="1"/>
      <c r="AY13" s="1"/>
      <c r="AZ13" s="1"/>
      <c r="BA13" s="1"/>
      <c r="BB13" s="1"/>
      <c r="BC13" s="1"/>
      <c r="BD13" s="1"/>
      <c r="BE13" s="18" t="s">
        <v>10</v>
      </c>
      <c r="BF13" s="18"/>
      <c r="BG13" s="18"/>
      <c r="BH13" s="18"/>
      <c r="BI13" s="18" t="s">
        <v>13</v>
      </c>
      <c r="BJ13" s="18"/>
      <c r="BK13" s="18"/>
      <c r="BL13" s="18"/>
      <c r="BM13" s="18" t="s">
        <v>16</v>
      </c>
      <c r="BN13" s="18"/>
      <c r="BO13" s="18"/>
      <c r="BP13" s="18"/>
      <c r="BQ13" s="18" t="s">
        <v>19</v>
      </c>
      <c r="BR13" s="18"/>
      <c r="BS13" s="18"/>
      <c r="BT13" s="18"/>
      <c r="BU13" s="1"/>
      <c r="CD13" s="16"/>
    </row>
    <row r="14" spans="1:87" s="18" customFormat="1" ht="13.5" customHeight="1" x14ac:dyDescent="0.3">
      <c r="A14" s="470" t="s">
        <v>164</v>
      </c>
      <c r="B14" s="471"/>
      <c r="C14" s="284">
        <f>C8/9</f>
        <v>0</v>
      </c>
      <c r="D14" s="152"/>
      <c r="E14" s="172" t="s">
        <v>37</v>
      </c>
      <c r="F14" s="173"/>
      <c r="G14" s="6"/>
      <c r="H14" s="6"/>
      <c r="I14" s="97"/>
      <c r="J14" s="4"/>
      <c r="N14" s="382"/>
      <c r="O14" s="382"/>
      <c r="P14" s="382"/>
      <c r="Q14" s="382"/>
      <c r="R14" s="247"/>
      <c r="S14" s="12"/>
      <c r="T14" s="8"/>
      <c r="U14" t="s">
        <v>38</v>
      </c>
      <c r="V14"/>
      <c r="W14" s="8"/>
      <c r="X14" s="8"/>
      <c r="Y14" s="8"/>
      <c r="Z14" s="8"/>
      <c r="AA14" s="8"/>
      <c r="AB14" s="8"/>
      <c r="AF14" s="8"/>
      <c r="AO14" s="17" t="s">
        <v>39</v>
      </c>
      <c r="AR14" s="19" t="s">
        <v>40</v>
      </c>
      <c r="AS14" s="19" t="s">
        <v>41</v>
      </c>
      <c r="AT14" s="19" t="s">
        <v>42</v>
      </c>
      <c r="AU14" s="20" t="s">
        <v>43</v>
      </c>
      <c r="AV14" s="20" t="s">
        <v>44</v>
      </c>
      <c r="AW14" s="20" t="s">
        <v>42</v>
      </c>
      <c r="AX14" s="21" t="s">
        <v>45</v>
      </c>
      <c r="AY14" s="21" t="s">
        <v>46</v>
      </c>
      <c r="AZ14" s="21" t="s">
        <v>42</v>
      </c>
      <c r="BA14" s="22" t="s">
        <v>47</v>
      </c>
      <c r="BB14" s="22" t="s">
        <v>48</v>
      </c>
      <c r="BC14" s="22" t="s">
        <v>42</v>
      </c>
      <c r="BD14" s="223" t="s">
        <v>49</v>
      </c>
      <c r="BE14" s="19" t="s">
        <v>50</v>
      </c>
      <c r="BF14" s="19" t="s">
        <v>51</v>
      </c>
      <c r="BG14" s="19" t="s">
        <v>42</v>
      </c>
      <c r="BH14" s="19" t="s">
        <v>52</v>
      </c>
      <c r="BI14" s="20" t="s">
        <v>50</v>
      </c>
      <c r="BJ14" s="20" t="s">
        <v>51</v>
      </c>
      <c r="BK14" s="20" t="s">
        <v>42</v>
      </c>
      <c r="BL14" s="20" t="s">
        <v>52</v>
      </c>
      <c r="BM14" s="21" t="s">
        <v>53</v>
      </c>
      <c r="BN14" s="21" t="s">
        <v>54</v>
      </c>
      <c r="BO14" s="21" t="s">
        <v>42</v>
      </c>
      <c r="BP14" s="21" t="s">
        <v>55</v>
      </c>
      <c r="BQ14" s="22" t="s">
        <v>53</v>
      </c>
      <c r="BR14" s="22" t="s">
        <v>54</v>
      </c>
      <c r="BS14" s="22" t="s">
        <v>42</v>
      </c>
      <c r="BT14" s="22" t="s">
        <v>56</v>
      </c>
      <c r="BU14" s="23" t="s">
        <v>57</v>
      </c>
      <c r="BV14" s="18" t="s">
        <v>58</v>
      </c>
      <c r="BW14" s="18" t="s">
        <v>59</v>
      </c>
      <c r="BX14" s="18" t="s">
        <v>60</v>
      </c>
      <c r="BY14" s="18" t="s">
        <v>61</v>
      </c>
      <c r="BZ14" s="18" t="s">
        <v>62</v>
      </c>
      <c r="CA14" s="18" t="s">
        <v>63</v>
      </c>
      <c r="CB14" s="18" t="s">
        <v>64</v>
      </c>
      <c r="CC14" s="18" t="s">
        <v>65</v>
      </c>
      <c r="CD14" s="24" t="s">
        <v>66</v>
      </c>
    </row>
    <row r="15" spans="1:87" ht="13.5" customHeight="1" x14ac:dyDescent="0.25">
      <c r="E15" s="174" t="s">
        <v>49</v>
      </c>
      <c r="F15" s="174" t="s">
        <v>67</v>
      </c>
      <c r="G15" s="174" t="s">
        <v>68</v>
      </c>
      <c r="H15" s="174" t="s">
        <v>69</v>
      </c>
      <c r="I15" s="2"/>
      <c r="J15" s="4"/>
      <c r="N15" s="378" t="s">
        <v>178</v>
      </c>
      <c r="O15" s="379"/>
      <c r="P15" s="379"/>
      <c r="Q15" s="382"/>
      <c r="S15" s="12"/>
      <c r="T15" s="8"/>
      <c r="U15" t="s">
        <v>70</v>
      </c>
      <c r="W15" s="8"/>
      <c r="X15" s="8"/>
      <c r="Y15" s="8"/>
      <c r="Z15" s="8"/>
      <c r="AA15" s="8"/>
      <c r="AB15" s="8"/>
      <c r="AF15" s="8"/>
      <c r="AO15" s="27" t="s">
        <v>71</v>
      </c>
      <c r="AQ15" t="s">
        <v>71</v>
      </c>
      <c r="AR15" s="28">
        <f>O4</f>
        <v>46143</v>
      </c>
      <c r="AS15" s="28">
        <f>P4</f>
        <v>46173</v>
      </c>
      <c r="AT15" s="29">
        <f>NETWORKDAYS(AR15,AS15,0)</f>
        <v>21</v>
      </c>
      <c r="AU15" s="30">
        <v>46174</v>
      </c>
      <c r="AV15" s="30">
        <v>46203</v>
      </c>
      <c r="AW15" s="31">
        <v>22</v>
      </c>
      <c r="AX15" s="32"/>
      <c r="AY15" s="32"/>
      <c r="AZ15" s="33"/>
      <c r="BA15" s="34"/>
      <c r="BB15" s="34"/>
      <c r="BC15" s="35"/>
      <c r="BD15" s="224" t="s">
        <v>72</v>
      </c>
      <c r="BE15" s="36">
        <v>46149</v>
      </c>
      <c r="BF15" s="36">
        <v>46163</v>
      </c>
      <c r="BG15" s="29">
        <f>NETWORKDAYS(BE15,BF15,0)</f>
        <v>11</v>
      </c>
      <c r="BH15" s="37">
        <f>BG15/AT15</f>
        <v>0.52380952380952384</v>
      </c>
      <c r="BI15" s="38"/>
      <c r="BJ15" s="38"/>
      <c r="BK15" s="31"/>
      <c r="BL15" s="39"/>
      <c r="BM15" s="40"/>
      <c r="BN15" s="40"/>
      <c r="BO15" s="33"/>
      <c r="BP15" s="33"/>
      <c r="BQ15" s="35"/>
      <c r="BR15" s="35"/>
      <c r="BS15" s="35"/>
      <c r="BT15" s="35"/>
      <c r="BU15" s="57">
        <f>BH15+BP15+BT15+BL15</f>
        <v>0.52380952380952384</v>
      </c>
      <c r="BV15" s="41">
        <f>BH15/((BG15+(BE15-F16))/AT15)</f>
        <v>0.78571428571428581</v>
      </c>
      <c r="BW15" s="42">
        <f>BV15*H16</f>
        <v>0</v>
      </c>
      <c r="BX15" s="43">
        <f t="shared" ref="BX15:BX19" si="0">BL15/BU15</f>
        <v>0</v>
      </c>
      <c r="BY15" s="44">
        <f>BX15*H16</f>
        <v>0</v>
      </c>
      <c r="BZ15" s="45">
        <f t="shared" ref="BZ15:BZ18" si="1">BP15/BU15</f>
        <v>0</v>
      </c>
      <c r="CA15" s="49">
        <f>BZ15*H16</f>
        <v>0</v>
      </c>
      <c r="CB15" s="46">
        <f t="shared" ref="CB15:CB19" si="2">BT15/BU15</f>
        <v>0</v>
      </c>
      <c r="CC15" s="51">
        <f>CB15*H16</f>
        <v>0</v>
      </c>
      <c r="CD15" s="47">
        <f t="shared" ref="CD15:CD19" si="3">BW15+BY15+CA15+CC15</f>
        <v>0</v>
      </c>
    </row>
    <row r="16" spans="1:87" ht="13.5" customHeight="1" x14ac:dyDescent="0.25">
      <c r="A16" s="468" t="s">
        <v>156</v>
      </c>
      <c r="B16" s="468"/>
      <c r="C16" s="468"/>
      <c r="D16" s="468"/>
      <c r="E16" s="195" t="s">
        <v>71</v>
      </c>
      <c r="F16" s="25">
        <v>46146</v>
      </c>
      <c r="G16" s="25">
        <v>46163</v>
      </c>
      <c r="H16" s="26">
        <v>0</v>
      </c>
      <c r="I16" s="2"/>
      <c r="J16" s="4"/>
      <c r="N16" s="380" t="s">
        <v>73</v>
      </c>
      <c r="O16" s="383">
        <v>46149</v>
      </c>
      <c r="P16" s="383">
        <v>46172</v>
      </c>
      <c r="Q16" s="382">
        <f t="shared" ref="Q16:Q17" si="4">NETWORKDAYS(O16,P16,0)</f>
        <v>17</v>
      </c>
      <c r="S16" s="12"/>
      <c r="T16" s="8"/>
      <c r="U16" t="s">
        <v>74</v>
      </c>
      <c r="W16" s="8"/>
      <c r="X16" s="8"/>
      <c r="Y16" s="8"/>
      <c r="Z16" s="8"/>
      <c r="AA16" s="8"/>
      <c r="AB16" s="8"/>
      <c r="AF16" s="8"/>
      <c r="AO16" s="27" t="s">
        <v>75</v>
      </c>
      <c r="AQ16" t="s">
        <v>75</v>
      </c>
      <c r="AR16" s="28">
        <f>O4</f>
        <v>46143</v>
      </c>
      <c r="AS16" s="28">
        <f>P4</f>
        <v>46173</v>
      </c>
      <c r="AT16" s="29">
        <f>NETWORKDAYS(AR16,AS16,0)</f>
        <v>21</v>
      </c>
      <c r="AU16" s="30">
        <f>O5</f>
        <v>46174</v>
      </c>
      <c r="AV16" s="30">
        <f>P5</f>
        <v>46203</v>
      </c>
      <c r="AW16" s="31">
        <f>NETWORKDAYS(AU16,AV16,0)</f>
        <v>22</v>
      </c>
      <c r="AX16" s="32">
        <f>O6</f>
        <v>46204</v>
      </c>
      <c r="AY16" s="32">
        <f>P6</f>
        <v>46234</v>
      </c>
      <c r="AZ16" s="33">
        <f t="shared" ref="AZ16:AZ19" si="5">NETWORKDAYS(AX16,AY16,0)</f>
        <v>23</v>
      </c>
      <c r="BA16" s="34">
        <v>46235</v>
      </c>
      <c r="BB16" s="34">
        <v>46265</v>
      </c>
      <c r="BC16" s="35">
        <v>21</v>
      </c>
      <c r="BD16" s="224" t="s">
        <v>75</v>
      </c>
      <c r="BE16" s="36">
        <v>46168</v>
      </c>
      <c r="BF16" s="36">
        <v>46173</v>
      </c>
      <c r="BG16" s="29">
        <f>NETWORKDAYS(BE16,BF16,0)</f>
        <v>4</v>
      </c>
      <c r="BH16" s="37">
        <f>BG16/AT16</f>
        <v>0.19047619047619047</v>
      </c>
      <c r="BI16" s="38">
        <v>46174</v>
      </c>
      <c r="BJ16" s="38">
        <v>46199</v>
      </c>
      <c r="BK16" s="31">
        <f>NETWORKDAYS(BI16,BJ16,0)</f>
        <v>20</v>
      </c>
      <c r="BL16" s="39">
        <f>BK16/AW16</f>
        <v>0.90909090909090906</v>
      </c>
      <c r="BM16" s="40"/>
      <c r="BN16" s="40"/>
      <c r="BO16" s="33">
        <f>NETWORKDAYS(BM16,BN16,0)</f>
        <v>0</v>
      </c>
      <c r="BP16" s="33">
        <f>BO16/AZ16</f>
        <v>0</v>
      </c>
      <c r="BQ16" s="35"/>
      <c r="BR16" s="35"/>
      <c r="BS16" s="35"/>
      <c r="BT16" s="35"/>
      <c r="BU16" s="57">
        <f t="shared" ref="BU16:BU21" si="6">BH16+BP16+BT16+BL16</f>
        <v>1.0995670995670994</v>
      </c>
      <c r="BV16" s="41">
        <f>BH16/BU16</f>
        <v>0.17322834645669294</v>
      </c>
      <c r="BW16" s="42">
        <f>BV16*H17</f>
        <v>0</v>
      </c>
      <c r="BX16" s="43">
        <f t="shared" si="0"/>
        <v>0.82677165354330717</v>
      </c>
      <c r="BY16" s="44">
        <f>BX16*H17</f>
        <v>0</v>
      </c>
      <c r="BZ16" s="45">
        <f t="shared" si="1"/>
        <v>0</v>
      </c>
      <c r="CA16" s="49">
        <f>BZ16*H17</f>
        <v>0</v>
      </c>
      <c r="CB16" s="46">
        <f t="shared" si="2"/>
        <v>0</v>
      </c>
      <c r="CC16" s="51">
        <f>CB16*H17</f>
        <v>0</v>
      </c>
      <c r="CD16" s="47">
        <f t="shared" si="3"/>
        <v>0</v>
      </c>
      <c r="CG16" s="96"/>
      <c r="CI16" s="96"/>
    </row>
    <row r="17" spans="1:84" ht="13.5" customHeight="1" x14ac:dyDescent="0.25">
      <c r="A17" s="1"/>
      <c r="B17" s="469" t="s">
        <v>8</v>
      </c>
      <c r="C17" s="469"/>
      <c r="D17" s="1"/>
      <c r="E17" s="191" t="s">
        <v>75</v>
      </c>
      <c r="F17" s="48">
        <v>46168</v>
      </c>
      <c r="G17" s="48">
        <v>46199</v>
      </c>
      <c r="H17" s="26">
        <v>0</v>
      </c>
      <c r="I17" s="2"/>
      <c r="J17" s="4"/>
      <c r="M17" t="s">
        <v>28</v>
      </c>
      <c r="N17" s="380" t="s">
        <v>76</v>
      </c>
      <c r="O17" s="383">
        <v>46174</v>
      </c>
      <c r="P17" s="383">
        <v>46203</v>
      </c>
      <c r="Q17" s="382">
        <f t="shared" si="4"/>
        <v>22</v>
      </c>
      <c r="S17" s="12"/>
      <c r="T17" s="8"/>
      <c r="U17" t="s">
        <v>77</v>
      </c>
      <c r="W17" s="8"/>
      <c r="X17" s="8"/>
      <c r="Y17" s="8"/>
      <c r="Z17" s="8"/>
      <c r="AA17" s="8"/>
      <c r="AB17" s="8"/>
      <c r="AF17" s="8"/>
      <c r="AO17" s="27" t="s">
        <v>78</v>
      </c>
      <c r="AQ17" t="s">
        <v>78</v>
      </c>
      <c r="AR17" s="28">
        <f>O5</f>
        <v>46174</v>
      </c>
      <c r="AS17" s="28">
        <f>P5</f>
        <v>46203</v>
      </c>
      <c r="AT17" s="29">
        <f>NETWORKDAYS(AR17,AS17,0)</f>
        <v>22</v>
      </c>
      <c r="AU17" s="30">
        <v>46174</v>
      </c>
      <c r="AV17" s="30">
        <v>46203</v>
      </c>
      <c r="AW17" s="31">
        <v>22</v>
      </c>
      <c r="AX17" s="32">
        <f>O6</f>
        <v>46204</v>
      </c>
      <c r="AY17" s="32">
        <f>P6</f>
        <v>46234</v>
      </c>
      <c r="AZ17" s="33">
        <f t="shared" si="5"/>
        <v>23</v>
      </c>
      <c r="BA17" s="34">
        <f>O7</f>
        <v>46235</v>
      </c>
      <c r="BB17" s="34">
        <f>P7</f>
        <v>46265</v>
      </c>
      <c r="BC17" s="35">
        <f>NETWORKDAYS(BA17,BB17,0)</f>
        <v>21</v>
      </c>
      <c r="BD17" s="224" t="s">
        <v>78</v>
      </c>
      <c r="BE17" s="36"/>
      <c r="BF17" s="36"/>
      <c r="BG17" s="29">
        <f t="shared" ref="BG17:BG19" si="7">NETWORKDAYS(BE17,BF17,0)</f>
        <v>0</v>
      </c>
      <c r="BH17" s="37">
        <f t="shared" ref="BH17:BH19" si="8">BG17/AT17</f>
        <v>0</v>
      </c>
      <c r="BI17" s="38">
        <v>46203</v>
      </c>
      <c r="BJ17" s="38">
        <v>46203</v>
      </c>
      <c r="BK17" s="31">
        <f>NETWORKDAYS(BI17,BJ17,0)</f>
        <v>1</v>
      </c>
      <c r="BL17" s="39">
        <f>BK17/AW17</f>
        <v>4.5454545454545456E-2</v>
      </c>
      <c r="BM17" s="40">
        <v>46204</v>
      </c>
      <c r="BN17" s="40">
        <f>AY17</f>
        <v>46234</v>
      </c>
      <c r="BO17" s="33">
        <f>NETWORKDAYS(BM17,BN17,0)</f>
        <v>23</v>
      </c>
      <c r="BP17" s="33">
        <f>BO17/AZ17</f>
        <v>1</v>
      </c>
      <c r="BQ17" s="50"/>
      <c r="BR17" s="50"/>
      <c r="BS17" s="35">
        <f>NETWORKDAYS(BQ17,BR17,0)</f>
        <v>0</v>
      </c>
      <c r="BT17" s="35">
        <f>BS17/BC17</f>
        <v>0</v>
      </c>
      <c r="BU17" s="57">
        <f t="shared" si="6"/>
        <v>1.0454545454545454</v>
      </c>
      <c r="BV17" s="41">
        <f t="shared" ref="BV17:BV19" si="9">BH17/BU17</f>
        <v>0</v>
      </c>
      <c r="BW17" s="42">
        <f>BV17*H18</f>
        <v>0</v>
      </c>
      <c r="BX17" s="43">
        <f t="shared" si="0"/>
        <v>4.3478260869565223E-2</v>
      </c>
      <c r="BY17" s="117">
        <f>BX17*H18</f>
        <v>0</v>
      </c>
      <c r="BZ17" s="45">
        <f t="shared" si="1"/>
        <v>0.95652173913043481</v>
      </c>
      <c r="CA17" s="49">
        <f>BZ17*H18</f>
        <v>0</v>
      </c>
      <c r="CB17" s="46">
        <f t="shared" si="2"/>
        <v>0</v>
      </c>
      <c r="CC17" s="51">
        <f>CB17*H18</f>
        <v>0</v>
      </c>
      <c r="CD17" s="47">
        <f t="shared" si="3"/>
        <v>0</v>
      </c>
    </row>
    <row r="18" spans="1:84" ht="13.5" customHeight="1" x14ac:dyDescent="0.25">
      <c r="E18" s="191" t="s">
        <v>78</v>
      </c>
      <c r="F18" s="48">
        <v>46203</v>
      </c>
      <c r="G18" s="48">
        <v>46234</v>
      </c>
      <c r="H18" s="26">
        <v>0</v>
      </c>
      <c r="I18" s="2"/>
      <c r="J18" s="4"/>
      <c r="M18" s="96"/>
      <c r="S18" s="12"/>
      <c r="T18" s="8"/>
      <c r="W18" s="8"/>
      <c r="X18" s="8"/>
      <c r="Y18" s="8"/>
      <c r="Z18" s="8"/>
      <c r="AA18" s="8"/>
      <c r="AB18" s="8"/>
      <c r="AF18" s="8"/>
      <c r="AO18" s="27" t="s">
        <v>79</v>
      </c>
      <c r="AQ18" t="s">
        <v>79</v>
      </c>
      <c r="AR18" s="28">
        <f>O4</f>
        <v>46143</v>
      </c>
      <c r="AS18" s="28">
        <f>P4</f>
        <v>46173</v>
      </c>
      <c r="AT18" s="29">
        <f>NETWORKDAYS(AR18,AS18,0)</f>
        <v>21</v>
      </c>
      <c r="AU18" s="30">
        <f>O5</f>
        <v>46174</v>
      </c>
      <c r="AV18" s="30">
        <f>P5</f>
        <v>46203</v>
      </c>
      <c r="AW18" s="31">
        <f>NETWORKDAYS(AU18,AV18,0)</f>
        <v>22</v>
      </c>
      <c r="AX18" s="32">
        <f>O6</f>
        <v>46204</v>
      </c>
      <c r="AY18" s="32">
        <f>P6</f>
        <v>46234</v>
      </c>
      <c r="AZ18" s="33">
        <f t="shared" si="5"/>
        <v>23</v>
      </c>
      <c r="BA18" s="34">
        <v>46235</v>
      </c>
      <c r="BB18" s="34">
        <v>46265</v>
      </c>
      <c r="BC18" s="35">
        <v>21</v>
      </c>
      <c r="BD18" s="224" t="s">
        <v>79</v>
      </c>
      <c r="BE18" s="36">
        <v>46168</v>
      </c>
      <c r="BF18" s="36">
        <v>46173</v>
      </c>
      <c r="BG18" s="29">
        <f t="shared" si="7"/>
        <v>4</v>
      </c>
      <c r="BH18" s="37">
        <f t="shared" si="8"/>
        <v>0.19047619047619047</v>
      </c>
      <c r="BI18" s="38">
        <v>46174</v>
      </c>
      <c r="BJ18" s="38">
        <f>AV18</f>
        <v>46203</v>
      </c>
      <c r="BK18" s="31">
        <f>NETWORKDAYS(BI18,BJ18,0)</f>
        <v>22</v>
      </c>
      <c r="BL18" s="39">
        <f>BK18/AW18</f>
        <v>1</v>
      </c>
      <c r="BM18" s="40">
        <f>AX18</f>
        <v>46204</v>
      </c>
      <c r="BN18" s="40">
        <f>G19</f>
        <v>46220</v>
      </c>
      <c r="BO18" s="33">
        <f>NETWORKDAYS(BM18,BN18,0)</f>
        <v>13</v>
      </c>
      <c r="BP18" s="33">
        <f>BO18/AZ18</f>
        <v>0.56521739130434778</v>
      </c>
      <c r="BQ18" s="50"/>
      <c r="BR18" s="50"/>
      <c r="BS18" s="35"/>
      <c r="BT18" s="35"/>
      <c r="BU18" s="57">
        <f t="shared" si="6"/>
        <v>1.7556935817805384</v>
      </c>
      <c r="BV18" s="41">
        <f t="shared" si="9"/>
        <v>0.10849056603773584</v>
      </c>
      <c r="BW18" s="42">
        <f>BV18*H19</f>
        <v>0</v>
      </c>
      <c r="BX18" s="43">
        <f t="shared" si="0"/>
        <v>0.56957547169811318</v>
      </c>
      <c r="BY18" s="44">
        <f>BX18*H19</f>
        <v>0</v>
      </c>
      <c r="BZ18" s="45">
        <f t="shared" si="1"/>
        <v>0.32193396226415089</v>
      </c>
      <c r="CA18" s="49">
        <f>BZ18*H19</f>
        <v>0</v>
      </c>
      <c r="CB18" s="46">
        <f t="shared" si="2"/>
        <v>0</v>
      </c>
      <c r="CC18" s="51">
        <f>CB18*H19</f>
        <v>0</v>
      </c>
      <c r="CD18" s="47">
        <f t="shared" si="3"/>
        <v>0</v>
      </c>
    </row>
    <row r="19" spans="1:84" ht="13.5" customHeight="1" x14ac:dyDescent="0.3">
      <c r="A19" s="474" t="s">
        <v>182</v>
      </c>
      <c r="B19" s="474"/>
      <c r="C19" s="474"/>
      <c r="D19" s="152"/>
      <c r="E19" s="191" t="s">
        <v>79</v>
      </c>
      <c r="F19" s="48">
        <v>46168</v>
      </c>
      <c r="G19" s="48">
        <v>46220</v>
      </c>
      <c r="H19" s="26">
        <v>0</v>
      </c>
      <c r="I19" s="2"/>
      <c r="J19" s="4"/>
      <c r="S19" s="12"/>
      <c r="T19" s="8"/>
      <c r="U19" t="s">
        <v>8</v>
      </c>
      <c r="W19" s="8"/>
      <c r="X19" s="8"/>
      <c r="Y19" s="8"/>
      <c r="Z19" s="8"/>
      <c r="AA19" s="8"/>
      <c r="AF19" s="8"/>
      <c r="AO19" s="27" t="s">
        <v>80</v>
      </c>
      <c r="AQ19" t="s">
        <v>80</v>
      </c>
      <c r="AR19" s="28">
        <f>O4</f>
        <v>46143</v>
      </c>
      <c r="AS19" s="28">
        <f>P4</f>
        <v>46173</v>
      </c>
      <c r="AT19" s="29">
        <f>NETWORKDAYS(AR19,AS19,0)</f>
        <v>21</v>
      </c>
      <c r="AU19" s="30">
        <f>O5</f>
        <v>46174</v>
      </c>
      <c r="AV19" s="30">
        <f>P5</f>
        <v>46203</v>
      </c>
      <c r="AW19" s="31">
        <f>NETWORKDAYS(AU19,AV19,0)</f>
        <v>22</v>
      </c>
      <c r="AX19" s="32">
        <f>O6</f>
        <v>46204</v>
      </c>
      <c r="AY19" s="32">
        <f>P6</f>
        <v>46234</v>
      </c>
      <c r="AZ19" s="33">
        <f t="shared" si="5"/>
        <v>23</v>
      </c>
      <c r="BA19" s="34">
        <f>O7</f>
        <v>46235</v>
      </c>
      <c r="BB19" s="34">
        <f>P7</f>
        <v>46265</v>
      </c>
      <c r="BC19" s="35">
        <f>NETWORKDAYS(BA19,BB19,0)</f>
        <v>21</v>
      </c>
      <c r="BD19" s="224" t="s">
        <v>80</v>
      </c>
      <c r="BE19" s="36">
        <v>46168</v>
      </c>
      <c r="BF19" s="36">
        <v>46173</v>
      </c>
      <c r="BG19" s="29">
        <f t="shared" si="7"/>
        <v>4</v>
      </c>
      <c r="BH19" s="37">
        <f t="shared" si="8"/>
        <v>0.19047619047619047</v>
      </c>
      <c r="BI19" s="38">
        <v>46174</v>
      </c>
      <c r="BJ19" s="38">
        <f>AV19</f>
        <v>46203</v>
      </c>
      <c r="BK19" s="31">
        <f>NETWORKDAYS(BI19,BJ19,0)</f>
        <v>22</v>
      </c>
      <c r="BL19" s="39">
        <f>BK19/AW19</f>
        <v>1</v>
      </c>
      <c r="BM19" s="40">
        <f>AX19</f>
        <v>46204</v>
      </c>
      <c r="BN19" s="40">
        <f>AY19</f>
        <v>46234</v>
      </c>
      <c r="BO19" s="33">
        <f>NETWORKDAYS(BM19,BN19,0)</f>
        <v>23</v>
      </c>
      <c r="BP19" s="33">
        <f>BO19/AZ19</f>
        <v>1</v>
      </c>
      <c r="BQ19" s="50"/>
      <c r="BR19" s="50"/>
      <c r="BS19" s="35"/>
      <c r="BT19" s="35"/>
      <c r="BU19" s="57">
        <f t="shared" si="6"/>
        <v>2.1904761904761907</v>
      </c>
      <c r="BV19" s="41">
        <f t="shared" si="9"/>
        <v>8.6956521739130418E-2</v>
      </c>
      <c r="BW19" s="42">
        <f>BV19*H20</f>
        <v>0</v>
      </c>
      <c r="BX19" s="43">
        <f t="shared" si="0"/>
        <v>0.45652173913043476</v>
      </c>
      <c r="BY19" s="44">
        <f>BX19*H20</f>
        <v>0</v>
      </c>
      <c r="BZ19" s="45">
        <f>BP19/BU19</f>
        <v>0.45652173913043476</v>
      </c>
      <c r="CA19" s="49">
        <f>BZ19*H20</f>
        <v>0</v>
      </c>
      <c r="CB19" s="46">
        <f t="shared" si="2"/>
        <v>0</v>
      </c>
      <c r="CC19" s="51">
        <f>CB19*H20</f>
        <v>0</v>
      </c>
      <c r="CD19" s="47">
        <f t="shared" si="3"/>
        <v>0</v>
      </c>
    </row>
    <row r="20" spans="1:84" ht="14.25" customHeight="1" x14ac:dyDescent="0.25">
      <c r="A20" s="476" t="s">
        <v>179</v>
      </c>
      <c r="B20" s="477"/>
      <c r="C20" s="267">
        <v>149988</v>
      </c>
      <c r="D20" s="389"/>
      <c r="E20" s="191" t="s">
        <v>80</v>
      </c>
      <c r="F20" s="48">
        <v>46168</v>
      </c>
      <c r="G20" s="48">
        <v>46234</v>
      </c>
      <c r="H20" s="26">
        <v>0</v>
      </c>
      <c r="I20" s="2"/>
      <c r="J20" s="4"/>
      <c r="M20" t="s">
        <v>81</v>
      </c>
      <c r="S20" s="12"/>
      <c r="T20" s="8"/>
      <c r="U20" t="s">
        <v>14</v>
      </c>
      <c r="W20" s="8"/>
      <c r="X20" s="8"/>
      <c r="Y20" s="8"/>
      <c r="Z20" s="8"/>
      <c r="AA20" s="8"/>
      <c r="AF20" s="8"/>
      <c r="AO20" s="287" t="s">
        <v>82</v>
      </c>
      <c r="AP20" s="288"/>
      <c r="AQ20" s="288"/>
      <c r="AR20" s="289"/>
      <c r="AS20" s="289"/>
      <c r="AT20" s="290"/>
      <c r="AU20" s="291"/>
      <c r="AV20" s="291"/>
      <c r="AW20" s="292"/>
      <c r="AX20" s="293"/>
      <c r="AY20" s="293"/>
      <c r="AZ20" s="294"/>
      <c r="BA20" s="295"/>
      <c r="BB20" s="295"/>
      <c r="BC20" s="35"/>
      <c r="BD20" s="296"/>
      <c r="BE20" s="297"/>
      <c r="BF20" s="297"/>
      <c r="BG20" s="290"/>
      <c r="BH20" s="298"/>
      <c r="BI20" s="299"/>
      <c r="BJ20" s="299"/>
      <c r="BK20" s="292"/>
      <c r="BL20" s="300"/>
      <c r="BM20" s="301"/>
      <c r="BN20" s="301"/>
      <c r="BO20" s="33"/>
      <c r="BP20" s="33"/>
      <c r="BQ20" s="302"/>
      <c r="BR20" s="302"/>
      <c r="BS20" s="35"/>
      <c r="BT20" s="35"/>
      <c r="BU20" s="57"/>
      <c r="BV20" s="41"/>
      <c r="BW20" s="42"/>
      <c r="BX20" s="43"/>
      <c r="BY20" s="44"/>
      <c r="BZ20" s="45"/>
      <c r="CA20" s="49"/>
      <c r="CB20" s="46"/>
      <c r="CC20" s="51"/>
      <c r="CD20" s="47"/>
    </row>
    <row r="21" spans="1:84" ht="13.5" customHeight="1" x14ac:dyDescent="0.25">
      <c r="A21" s="478" t="s">
        <v>180</v>
      </c>
      <c r="B21" s="478"/>
      <c r="C21" s="269"/>
      <c r="D21" s="1"/>
      <c r="E21" s="280" t="s">
        <v>83</v>
      </c>
      <c r="F21" s="54">
        <v>46230</v>
      </c>
      <c r="G21" s="54">
        <v>46247</v>
      </c>
      <c r="H21" s="281">
        <v>0</v>
      </c>
      <c r="I21" s="5"/>
      <c r="J21" s="52"/>
      <c r="M21" s="96">
        <f>C14*(D32/Q4)</f>
        <v>0</v>
      </c>
      <c r="S21" s="12"/>
      <c r="T21" s="8"/>
      <c r="U21" s="8"/>
      <c r="V21" s="8"/>
      <c r="W21" s="8"/>
      <c r="X21" s="8"/>
      <c r="Y21" s="8"/>
      <c r="Z21" s="8"/>
      <c r="AA21" s="8"/>
      <c r="AB21" s="18"/>
      <c r="AF21" s="8"/>
      <c r="AO21" s="53" t="s">
        <v>83</v>
      </c>
      <c r="AQ21" t="s">
        <v>84</v>
      </c>
      <c r="AR21" s="28"/>
      <c r="AS21" s="28"/>
      <c r="AT21" s="29"/>
      <c r="AU21" s="30"/>
      <c r="AV21" s="30"/>
      <c r="AW21" s="31"/>
      <c r="AX21" s="32">
        <v>46204</v>
      </c>
      <c r="AY21" s="32">
        <v>46234</v>
      </c>
      <c r="AZ21" s="33">
        <v>23</v>
      </c>
      <c r="BA21" s="34">
        <v>46235</v>
      </c>
      <c r="BB21" s="34">
        <v>46265</v>
      </c>
      <c r="BC21" s="35">
        <f t="shared" ref="BC21" si="10">NETWORKDAYS(BA21,BB21,0)</f>
        <v>21</v>
      </c>
      <c r="BD21" s="224" t="s">
        <v>85</v>
      </c>
      <c r="BE21" s="36"/>
      <c r="BF21" s="36"/>
      <c r="BG21" s="29"/>
      <c r="BH21" s="37"/>
      <c r="BI21" s="38"/>
      <c r="BJ21" s="38"/>
      <c r="BK21" s="31"/>
      <c r="BL21" s="39"/>
      <c r="BM21" s="40">
        <v>46229</v>
      </c>
      <c r="BN21" s="40">
        <v>46234</v>
      </c>
      <c r="BO21" s="33">
        <f t="shared" ref="BO21" si="11">NETWORKDAYS(BM21,BN21,0)</f>
        <v>5</v>
      </c>
      <c r="BP21" s="33">
        <f t="shared" ref="BP21" si="12">BO21/AZ21</f>
        <v>0.21739130434782608</v>
      </c>
      <c r="BQ21" s="50">
        <v>46235</v>
      </c>
      <c r="BR21" s="50">
        <f>G21</f>
        <v>46247</v>
      </c>
      <c r="BS21" s="35">
        <f t="shared" ref="BS21" si="13">NETWORKDAYS(BQ21,BR21,0)</f>
        <v>9</v>
      </c>
      <c r="BT21" s="35">
        <f>BS21/BC21</f>
        <v>0.42857142857142855</v>
      </c>
      <c r="BU21" s="57">
        <f t="shared" si="6"/>
        <v>0.64596273291925466</v>
      </c>
      <c r="BV21" s="41">
        <f t="shared" ref="BV21" si="14">BH21/BU21</f>
        <v>0</v>
      </c>
      <c r="BW21" s="42">
        <f t="shared" ref="BW21" si="15">BV21*H22</f>
        <v>0</v>
      </c>
      <c r="BX21" s="43">
        <f t="shared" ref="BX21" si="16">BL21/BU21</f>
        <v>0</v>
      </c>
      <c r="BY21" s="44">
        <f t="shared" ref="BY21" si="17">BX21*H22</f>
        <v>0</v>
      </c>
      <c r="BZ21" s="45">
        <f t="shared" ref="BZ21" si="18">BP21/BU21</f>
        <v>0.33653846153846151</v>
      </c>
      <c r="CA21" s="49">
        <f>BZ21*H21</f>
        <v>0</v>
      </c>
      <c r="CB21" s="46">
        <f t="shared" ref="CB21" si="19">BT21/BU21</f>
        <v>0.66346153846153844</v>
      </c>
      <c r="CC21" s="51">
        <f>CB21*H21</f>
        <v>0</v>
      </c>
      <c r="CD21" s="47">
        <f t="shared" ref="CD21" si="20">BW21+BY21+CA21+CC21</f>
        <v>0</v>
      </c>
    </row>
    <row r="22" spans="1:84" ht="13.5" customHeight="1" x14ac:dyDescent="0.25">
      <c r="A22" s="479" t="s">
        <v>181</v>
      </c>
      <c r="B22" s="479"/>
      <c r="C22" s="283">
        <f>C21+C20</f>
        <v>149988</v>
      </c>
      <c r="D22" s="1"/>
      <c r="E22" s="18"/>
      <c r="F22" s="99"/>
      <c r="G22" s="99"/>
      <c r="H22" s="282"/>
      <c r="I22" s="5"/>
      <c r="J22" s="55"/>
      <c r="M22" s="96" t="s">
        <v>28</v>
      </c>
      <c r="S22" s="12"/>
      <c r="T22" s="8"/>
      <c r="U22" s="8"/>
      <c r="V22" s="8"/>
      <c r="W22" s="8"/>
      <c r="X22" s="8"/>
      <c r="Y22" s="8"/>
      <c r="Z22" s="8"/>
      <c r="AA22" s="8"/>
      <c r="AB22" s="18"/>
      <c r="AF22" s="8"/>
      <c r="AO22" s="56" t="s">
        <v>86</v>
      </c>
      <c r="AR22" s="28"/>
      <c r="AS22" s="28"/>
      <c r="AT22" s="29"/>
      <c r="AU22" s="30"/>
      <c r="AV22" s="30"/>
      <c r="AW22" s="31"/>
      <c r="AX22" s="32"/>
      <c r="AY22" s="32"/>
      <c r="AZ22" s="33"/>
      <c r="BA22" s="34"/>
      <c r="BB22" s="34"/>
      <c r="BC22" s="35"/>
      <c r="BD22" s="224"/>
      <c r="BE22" s="36"/>
      <c r="BF22" s="36"/>
      <c r="BG22" s="29"/>
      <c r="BH22" s="37"/>
      <c r="BI22" s="38"/>
      <c r="BJ22" s="38"/>
      <c r="BK22" s="31"/>
      <c r="BL22" s="39"/>
      <c r="BM22" s="40"/>
      <c r="BN22" s="40"/>
      <c r="BO22" s="33"/>
      <c r="BP22" s="33"/>
      <c r="BQ22" s="50"/>
      <c r="BR22" s="50"/>
      <c r="BS22" s="35"/>
      <c r="BT22" s="35"/>
      <c r="BU22" s="57"/>
      <c r="BV22" s="41"/>
      <c r="BW22" s="42"/>
      <c r="BX22" s="43"/>
      <c r="BY22" s="44"/>
      <c r="BZ22" s="45"/>
      <c r="CA22" s="49"/>
      <c r="CB22" s="46"/>
      <c r="CC22" s="51"/>
      <c r="CD22" s="47"/>
    </row>
    <row r="23" spans="1:84" ht="13.5" customHeight="1" x14ac:dyDescent="0.25">
      <c r="A23" s="487" t="s">
        <v>87</v>
      </c>
      <c r="B23" s="487"/>
      <c r="C23" s="283">
        <f>C22/3</f>
        <v>49996</v>
      </c>
      <c r="D23" s="18"/>
      <c r="E23" s="18"/>
      <c r="F23" s="98"/>
      <c r="G23" s="98"/>
      <c r="H23" s="279"/>
      <c r="I23" s="18"/>
      <c r="J23" s="55"/>
      <c r="M23" t="s">
        <v>88</v>
      </c>
      <c r="S23" s="12"/>
      <c r="T23" s="8"/>
      <c r="U23" s="8"/>
      <c r="V23" s="8"/>
      <c r="W23" s="8"/>
      <c r="X23" s="8"/>
      <c r="Y23" s="8"/>
      <c r="Z23" s="8"/>
      <c r="AA23" s="8"/>
      <c r="AB23" s="18"/>
      <c r="AF23" s="8"/>
      <c r="AO23" s="56"/>
      <c r="AR23" s="28"/>
      <c r="AS23" s="28"/>
      <c r="AT23" s="29"/>
      <c r="AU23" s="30"/>
      <c r="AV23" s="30"/>
      <c r="AW23" s="31"/>
      <c r="AX23" s="32"/>
      <c r="AY23" s="32"/>
      <c r="AZ23" s="33"/>
      <c r="BA23" s="34"/>
      <c r="BB23" s="34"/>
      <c r="BC23" s="35"/>
      <c r="BD23" s="224"/>
      <c r="BE23" s="36"/>
      <c r="BF23" s="36"/>
      <c r="BG23" s="29"/>
      <c r="BH23" s="37"/>
      <c r="BI23" s="38"/>
      <c r="BJ23" s="38"/>
      <c r="BK23" s="31"/>
      <c r="BL23" s="39"/>
      <c r="BM23" s="40"/>
      <c r="BN23" s="40"/>
      <c r="BO23" s="33"/>
      <c r="BP23" s="33"/>
      <c r="BQ23" s="50"/>
      <c r="BR23" s="50"/>
      <c r="BS23" s="35"/>
      <c r="BT23" s="35"/>
      <c r="BU23" s="57"/>
      <c r="BV23" s="41"/>
      <c r="BW23" s="42"/>
      <c r="BX23" s="43"/>
      <c r="BY23" s="44"/>
      <c r="BZ23" s="45"/>
      <c r="CA23" s="49"/>
      <c r="CB23" s="46"/>
      <c r="CC23" s="51"/>
      <c r="CD23" s="47"/>
    </row>
    <row r="24" spans="1:84" ht="13.5" customHeight="1" x14ac:dyDescent="0.25">
      <c r="A24" s="488" t="s">
        <v>174</v>
      </c>
      <c r="B24" s="489"/>
      <c r="C24" s="284">
        <f>C20/3</f>
        <v>49996</v>
      </c>
      <c r="D24" s="247" t="s">
        <v>28</v>
      </c>
      <c r="I24" s="5"/>
      <c r="J24" s="55"/>
      <c r="M24" s="96">
        <f>C14*D56/Q7</f>
        <v>0</v>
      </c>
      <c r="S24" s="12"/>
      <c r="T24" s="8"/>
      <c r="U24" s="8"/>
      <c r="V24" s="8"/>
      <c r="W24" s="8"/>
      <c r="X24" s="8"/>
      <c r="Y24" s="8"/>
      <c r="Z24" s="8"/>
      <c r="AA24" s="8"/>
      <c r="AB24" s="18"/>
      <c r="AF24" s="8"/>
      <c r="AO24" s="56"/>
      <c r="AR24" s="28"/>
      <c r="AS24" s="28"/>
      <c r="AT24" s="29"/>
      <c r="AU24" s="30"/>
      <c r="AV24" s="30"/>
      <c r="AW24" s="31"/>
      <c r="AX24" s="32"/>
      <c r="AY24" s="32"/>
      <c r="AZ24" s="33"/>
      <c r="BA24" s="34"/>
      <c r="BB24" s="34"/>
      <c r="BC24" s="35"/>
      <c r="BD24" s="224"/>
      <c r="BE24" s="36"/>
      <c r="BF24" s="36"/>
      <c r="BG24" s="29"/>
      <c r="BH24" s="37"/>
      <c r="BI24" s="38"/>
      <c r="BJ24" s="38"/>
      <c r="BK24" s="31"/>
      <c r="BL24" s="39"/>
      <c r="BM24" s="40"/>
      <c r="BN24" s="40"/>
      <c r="BO24" s="33"/>
      <c r="BP24" s="33"/>
      <c r="BQ24" s="50"/>
      <c r="BR24" s="50"/>
      <c r="BS24" s="35"/>
      <c r="BT24" s="35"/>
      <c r="BU24" s="57"/>
      <c r="BV24" s="41"/>
      <c r="BW24" s="42"/>
      <c r="BX24" s="43"/>
      <c r="BY24" s="44"/>
      <c r="BZ24" s="45"/>
      <c r="CA24" s="49"/>
      <c r="CB24" s="46"/>
      <c r="CC24" s="51"/>
      <c r="CD24" s="47"/>
    </row>
    <row r="25" spans="1:84" ht="13.5" customHeight="1" x14ac:dyDescent="0.25">
      <c r="A25" s="484" t="s">
        <v>89</v>
      </c>
      <c r="B25" s="484"/>
      <c r="C25" s="285">
        <f>C22/9</f>
        <v>16665.333333333332</v>
      </c>
      <c r="D25" s="246"/>
      <c r="I25" s="5"/>
      <c r="J25" s="55"/>
      <c r="M25" t="s">
        <v>90</v>
      </c>
      <c r="S25" s="12"/>
      <c r="T25" s="8"/>
      <c r="U25" s="8"/>
      <c r="V25" s="8"/>
      <c r="W25" s="8"/>
      <c r="X25" s="8"/>
      <c r="Y25" s="8"/>
      <c r="Z25" s="8"/>
      <c r="AA25" s="8"/>
      <c r="AB25" s="18"/>
      <c r="AF25" s="8"/>
      <c r="AO25" s="56"/>
      <c r="AR25" s="28"/>
      <c r="AS25" s="28"/>
      <c r="AT25" s="29"/>
      <c r="AU25" s="30"/>
      <c r="AV25" s="30"/>
      <c r="AW25" s="31"/>
      <c r="AX25" s="32"/>
      <c r="AY25" s="32"/>
      <c r="AZ25" s="33"/>
      <c r="BA25" s="34"/>
      <c r="BB25" s="34"/>
      <c r="BC25" s="35"/>
      <c r="BD25" s="224"/>
      <c r="BE25" s="36"/>
      <c r="BF25" s="36"/>
      <c r="BG25" s="29"/>
      <c r="BH25" s="37"/>
      <c r="BI25" s="38"/>
      <c r="BJ25" s="38"/>
      <c r="BK25" s="31"/>
      <c r="BL25" s="39"/>
      <c r="BM25" s="40"/>
      <c r="BN25" s="40"/>
      <c r="BO25" s="33"/>
      <c r="BP25" s="33"/>
      <c r="BQ25" s="50"/>
      <c r="BR25" s="50"/>
      <c r="BS25" s="35"/>
      <c r="BT25" s="35"/>
      <c r="BU25" s="57"/>
      <c r="BV25" s="41"/>
      <c r="BW25" s="42"/>
      <c r="BX25" s="43"/>
      <c r="BY25" s="44"/>
      <c r="BZ25" s="45"/>
      <c r="CA25" s="49"/>
      <c r="CB25" s="46"/>
      <c r="CC25" s="51"/>
      <c r="CD25" s="47"/>
    </row>
    <row r="26" spans="1:84" ht="13.5" customHeight="1" x14ac:dyDescent="0.25">
      <c r="A26" s="485" t="s">
        <v>175</v>
      </c>
      <c r="B26" s="486"/>
      <c r="C26" s="410">
        <f>C20/9</f>
        <v>16665.333333333332</v>
      </c>
      <c r="D26" s="246" t="s">
        <v>28</v>
      </c>
      <c r="E26" s="18"/>
      <c r="F26" s="98"/>
      <c r="G26" s="98"/>
      <c r="H26" s="279"/>
      <c r="I26" s="5"/>
      <c r="J26" s="55"/>
      <c r="M26" s="96">
        <f>C26*D56/Q7</f>
        <v>6348.6984126984125</v>
      </c>
      <c r="S26" s="12"/>
      <c r="T26" s="8"/>
      <c r="U26" s="8"/>
      <c r="V26" s="8"/>
      <c r="W26" s="8"/>
      <c r="X26" s="8"/>
      <c r="Y26" s="8"/>
      <c r="Z26" s="8"/>
      <c r="AA26" s="8"/>
      <c r="AB26" s="18"/>
      <c r="AF26" s="8"/>
      <c r="AO26" s="56"/>
      <c r="AR26" s="28"/>
      <c r="AS26" s="28"/>
      <c r="AT26" s="29"/>
      <c r="AU26" s="30"/>
      <c r="AV26" s="30"/>
      <c r="AW26" s="31"/>
      <c r="AX26" s="32"/>
      <c r="AY26" s="32"/>
      <c r="AZ26" s="33"/>
      <c r="BA26" s="34"/>
      <c r="BB26" s="34"/>
      <c r="BC26" s="35"/>
      <c r="BD26" s="225"/>
      <c r="BE26" s="36"/>
      <c r="BF26" s="36"/>
      <c r="BG26" s="29"/>
      <c r="BH26" s="37"/>
      <c r="BI26" s="38"/>
      <c r="BJ26" s="38"/>
      <c r="BK26" s="31"/>
      <c r="BL26" s="39"/>
      <c r="BM26" s="40"/>
      <c r="BN26" s="40"/>
      <c r="BO26" s="33"/>
      <c r="BP26" s="33"/>
      <c r="BQ26" s="50"/>
      <c r="BR26" s="50"/>
      <c r="BS26" s="35"/>
      <c r="BT26" s="35"/>
      <c r="BU26" s="57"/>
      <c r="BV26" s="41"/>
      <c r="BW26" s="42"/>
      <c r="BX26" s="43"/>
      <c r="BY26" s="44"/>
      <c r="BZ26" s="45"/>
      <c r="CA26" s="49"/>
      <c r="CB26" s="46"/>
      <c r="CC26" s="51"/>
      <c r="CD26" s="47"/>
    </row>
    <row r="27" spans="1:84" ht="13.2" customHeight="1" x14ac:dyDescent="0.25">
      <c r="D27" s="1"/>
      <c r="E27" s="18"/>
      <c r="F27" s="98"/>
      <c r="G27" s="98"/>
      <c r="H27" s="279"/>
      <c r="I27" s="5"/>
      <c r="J27" s="4"/>
      <c r="O27" s="1"/>
      <c r="P27" s="430"/>
      <c r="Q27" s="430"/>
      <c r="S27" s="12"/>
      <c r="T27" s="8"/>
      <c r="U27" s="8"/>
      <c r="V27" s="8"/>
      <c r="W27" s="8"/>
      <c r="X27" s="8"/>
      <c r="Y27" s="8"/>
      <c r="Z27" s="8"/>
      <c r="AA27" s="8"/>
      <c r="AB27" s="18"/>
      <c r="AF27" s="8"/>
      <c r="AO27" s="66"/>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234">
        <f>SUM(BW15:BW22)</f>
        <v>0</v>
      </c>
      <c r="BX27" s="234"/>
      <c r="BY27" s="234">
        <f>SUM(BY15:BY22)</f>
        <v>0</v>
      </c>
      <c r="BZ27" s="234"/>
      <c r="CA27" s="234">
        <f>SUM(CA15:CA22)</f>
        <v>0</v>
      </c>
      <c r="CB27" s="234"/>
      <c r="CC27" s="234">
        <f>SUM(CC15:CC22)</f>
        <v>0</v>
      </c>
      <c r="CD27" s="245">
        <f>BW27+BY27+CA27+CC27</f>
        <v>0</v>
      </c>
      <c r="CF27" s="71"/>
    </row>
    <row r="28" spans="1:84" s="1" customFormat="1" ht="13.5" customHeight="1" x14ac:dyDescent="0.25">
      <c r="A28"/>
      <c r="B28"/>
      <c r="C28"/>
      <c r="D28" s="65"/>
      <c r="E28"/>
      <c r="F28"/>
      <c r="G28" s="98"/>
      <c r="H28" s="279"/>
      <c r="I28" s="5"/>
      <c r="J28" s="69"/>
      <c r="K28" s="104"/>
      <c r="L28" s="105"/>
      <c r="M28" s="275"/>
      <c r="N28" s="96"/>
      <c r="O28" s="107"/>
      <c r="P28" s="108"/>
      <c r="Q28" s="428"/>
      <c r="R28" s="429"/>
      <c r="S28" s="12"/>
      <c r="T28" s="8"/>
      <c r="U28" s="8"/>
      <c r="V28" s="8"/>
      <c r="W28" s="8"/>
      <c r="X28" s="8"/>
      <c r="Y28" s="8"/>
      <c r="Z28" s="8"/>
      <c r="AA28" s="8"/>
      <c r="AB28"/>
      <c r="AD28" s="58"/>
      <c r="AF28" s="8"/>
      <c r="AH28" s="58"/>
      <c r="AR28" s="58"/>
      <c r="AS28" s="60"/>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row>
    <row r="29" spans="1:84" s="1" customFormat="1" ht="13.5" customHeight="1" x14ac:dyDescent="0.25">
      <c r="C29" s="98"/>
      <c r="D29" s="199" t="s">
        <v>28</v>
      </c>
      <c r="E29" s="260" t="s">
        <v>28</v>
      </c>
      <c r="F29" s="73" t="s">
        <v>28</v>
      </c>
      <c r="G29" s="98"/>
      <c r="H29" s="279"/>
      <c r="I29" s="5"/>
      <c r="J29" s="69"/>
      <c r="K29" s="241"/>
      <c r="L29" s="84"/>
      <c r="M29" s="275"/>
      <c r="N29" s="276"/>
      <c r="O29" s="255"/>
      <c r="P29" s="108"/>
      <c r="Q29" s="428"/>
      <c r="R29" s="429"/>
      <c r="S29" s="12"/>
      <c r="T29" s="8"/>
      <c r="U29" s="8"/>
      <c r="V29" s="8"/>
      <c r="W29" s="8"/>
      <c r="X29" s="8"/>
      <c r="Y29" s="8"/>
      <c r="Z29" s="8"/>
      <c r="AA29" s="8"/>
      <c r="AB29"/>
      <c r="AD29" s="58"/>
      <c r="AF29" s="8"/>
      <c r="AH29" s="58"/>
      <c r="AR29" s="58"/>
      <c r="AS29" s="60"/>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row>
    <row r="30" spans="1:84" s="1" customFormat="1" ht="13.5" customHeight="1" thickBot="1" x14ac:dyDescent="0.3">
      <c r="A30" s="385" t="s">
        <v>161</v>
      </c>
      <c r="B30" s="385"/>
      <c r="D30" s="153"/>
      <c r="E30" s="6"/>
      <c r="F30"/>
      <c r="G30" s="98"/>
      <c r="H30" s="279"/>
      <c r="I30" s="5"/>
      <c r="J30" s="69"/>
      <c r="K30" s="104"/>
      <c r="L30" s="84"/>
      <c r="M30" s="275"/>
      <c r="N30" s="276"/>
      <c r="O30" s="107"/>
      <c r="P30" s="108"/>
      <c r="Q30" s="428"/>
      <c r="R30" s="429"/>
      <c r="S30" s="12"/>
      <c r="T30" s="8"/>
      <c r="U30" s="8"/>
      <c r="V30" s="8"/>
      <c r="W30" s="8"/>
      <c r="X30" s="8"/>
      <c r="Y30" s="8"/>
      <c r="Z30" s="8"/>
      <c r="AA30" s="8"/>
      <c r="AB30"/>
      <c r="AD30" s="58"/>
      <c r="AF30" s="8"/>
      <c r="AH30" s="58"/>
      <c r="AR30" s="58"/>
      <c r="AS30" s="60"/>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row>
    <row r="31" spans="1:84" s="1" customFormat="1" ht="13.5" customHeight="1" thickBot="1" x14ac:dyDescent="0.3">
      <c r="A31" s="201" t="s">
        <v>10</v>
      </c>
      <c r="B31" s="210" t="s">
        <v>5</v>
      </c>
      <c r="C31" s="211" t="s">
        <v>6</v>
      </c>
      <c r="D31" s="211" t="s">
        <v>91</v>
      </c>
      <c r="E31" s="212" t="s">
        <v>92</v>
      </c>
      <c r="F31" s="215"/>
      <c r="G31" s="98"/>
      <c r="H31" s="279"/>
      <c r="I31" s="5"/>
      <c r="J31" s="69"/>
      <c r="K31" s="104"/>
      <c r="L31" s="105"/>
      <c r="M31" s="275"/>
      <c r="N31" s="276"/>
      <c r="O31" s="107"/>
      <c r="P31" s="108"/>
      <c r="Q31" s="428"/>
      <c r="R31" s="429"/>
      <c r="S31" s="12"/>
      <c r="T31" s="8"/>
      <c r="U31" s="8"/>
      <c r="V31" s="8"/>
      <c r="W31" s="8"/>
      <c r="X31" s="8"/>
      <c r="Y31" s="8"/>
      <c r="Z31" s="8"/>
      <c r="AA31" s="8"/>
      <c r="AB31"/>
      <c r="AD31" s="58"/>
      <c r="AF31" s="8"/>
      <c r="AH31" s="58"/>
      <c r="AR31" s="58"/>
      <c r="AS31" s="60"/>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row>
    <row r="32" spans="1:84" s="1" customFormat="1" ht="13.5" customHeight="1" thickBot="1" x14ac:dyDescent="0.3">
      <c r="A32" s="148"/>
      <c r="B32" s="200">
        <v>46149</v>
      </c>
      <c r="C32" s="200">
        <v>46173</v>
      </c>
      <c r="D32" s="259">
        <f>NETWORKDAYS(B32,C32,0)-D34</f>
        <v>17</v>
      </c>
      <c r="E32" s="202">
        <f>C14*(D32/Q4)</f>
        <v>0</v>
      </c>
      <c r="F32" s="216"/>
      <c r="G32" s="98"/>
      <c r="H32" s="279"/>
      <c r="I32" s="5"/>
      <c r="J32" s="69"/>
      <c r="K32" s="104"/>
      <c r="L32" s="105"/>
      <c r="M32" s="106"/>
      <c r="N32" s="241"/>
      <c r="O32" s="107"/>
      <c r="P32" s="108"/>
      <c r="Q32" s="428"/>
      <c r="R32" s="429"/>
      <c r="S32" s="12"/>
      <c r="T32" s="8"/>
      <c r="U32" s="8"/>
      <c r="V32" s="8"/>
      <c r="W32" s="8"/>
      <c r="X32" s="8"/>
      <c r="Y32" s="8"/>
      <c r="Z32" s="8"/>
      <c r="AA32" s="8"/>
      <c r="AB32"/>
      <c r="AD32" s="58"/>
      <c r="AF32" s="8"/>
      <c r="AH32" s="58"/>
      <c r="AR32" s="58"/>
      <c r="AS32" s="60"/>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row>
    <row r="33" spans="1:82" s="1" customFormat="1" ht="13.5" customHeight="1" thickBot="1" x14ac:dyDescent="0.3">
      <c r="A33" s="390" t="s">
        <v>93</v>
      </c>
      <c r="B33" s="193" t="s">
        <v>94</v>
      </c>
      <c r="C33" s="193" t="s">
        <v>95</v>
      </c>
      <c r="D33" s="194" t="s">
        <v>96</v>
      </c>
      <c r="F33" s="217"/>
      <c r="G33"/>
      <c r="H33"/>
      <c r="I33" s="5"/>
      <c r="J33" s="69"/>
      <c r="K33" s="104"/>
      <c r="L33" s="105"/>
      <c r="M33" s="106"/>
      <c r="N33" s="104"/>
      <c r="O33" s="107"/>
      <c r="P33" s="108"/>
      <c r="Q33" s="428"/>
      <c r="R33" s="429"/>
      <c r="S33" s="12"/>
      <c r="T33" s="8"/>
      <c r="U33" s="8"/>
      <c r="V33" s="8"/>
      <c r="W33" s="8"/>
      <c r="X33" s="8"/>
      <c r="Y33" s="8"/>
      <c r="Z33" s="8"/>
      <c r="AA33" s="8"/>
      <c r="AB33"/>
      <c r="AD33" s="58"/>
      <c r="AF33" s="8"/>
      <c r="AH33" s="58"/>
      <c r="AR33" s="58"/>
      <c r="AS33" s="60"/>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row>
    <row r="34" spans="1:82" s="1" customFormat="1" ht="13.8" thickBot="1" x14ac:dyDescent="0.3">
      <c r="A34" s="391">
        <f>IFERROR(C34/B37,0)</f>
        <v>0</v>
      </c>
      <c r="B34" s="205">
        <f>SUM(BW27)</f>
        <v>0</v>
      </c>
      <c r="C34" s="204">
        <v>0</v>
      </c>
      <c r="D34" s="265">
        <v>0</v>
      </c>
      <c r="E34" s="406" t="str">
        <f>IFERROR(IF(#REF!&gt;1,Q16-(C14-B37)/C14*Q4,0), " ")</f>
        <v xml:space="preserve"> </v>
      </c>
      <c r="F34" s="407" t="e">
        <f>B37/E32*D32</f>
        <v>#DIV/0!</v>
      </c>
      <c r="G34"/>
      <c r="H34"/>
      <c r="I34" s="5"/>
      <c r="J34" s="69"/>
      <c r="K34" s="104"/>
      <c r="L34" s="427"/>
      <c r="M34" s="115"/>
      <c r="N34" s="65"/>
      <c r="O34" s="107"/>
      <c r="P34" s="108"/>
      <c r="Q34" s="428"/>
      <c r="R34" s="429"/>
      <c r="S34" s="12"/>
      <c r="T34" s="8"/>
      <c r="U34" s="8"/>
      <c r="V34" s="8"/>
      <c r="W34" s="8"/>
      <c r="X34" s="8"/>
      <c r="Y34" s="8"/>
      <c r="Z34" s="8"/>
      <c r="AA34" s="8"/>
      <c r="AB34"/>
      <c r="AF34" s="8"/>
    </row>
    <row r="35" spans="1:82" s="1" customFormat="1" ht="12" customHeight="1" x14ac:dyDescent="0.25">
      <c r="A35" s="183"/>
      <c r="B35" s="100"/>
      <c r="C35" s="69"/>
      <c r="D35" s="101"/>
      <c r="E35" s="492" t="s">
        <v>97</v>
      </c>
      <c r="F35" s="493"/>
      <c r="G35"/>
      <c r="H35"/>
      <c r="I35" s="5"/>
      <c r="J35" s="69"/>
      <c r="K35" s="104"/>
      <c r="L35" s="427"/>
      <c r="M35" s="275"/>
      <c r="N35" s="96"/>
      <c r="O35" s="110"/>
      <c r="P35" s="108"/>
      <c r="Q35" s="274"/>
      <c r="R35" s="429"/>
      <c r="S35" s="12"/>
      <c r="T35" s="8"/>
      <c r="U35" s="8"/>
      <c r="V35" s="8"/>
      <c r="W35" s="8"/>
      <c r="X35" s="8"/>
      <c r="Y35" s="8"/>
      <c r="Z35" s="8"/>
      <c r="AA35" s="8"/>
      <c r="AB35"/>
      <c r="AF35" s="8"/>
      <c r="AR35" s="61"/>
      <c r="AU35" s="61"/>
      <c r="AV35" s="61"/>
      <c r="AW35" s="61"/>
    </row>
    <row r="36" spans="1:82" s="1" customFormat="1" ht="13.5" customHeight="1" thickBot="1" x14ac:dyDescent="0.3">
      <c r="A36" s="183"/>
      <c r="B36" s="158" t="s">
        <v>98</v>
      </c>
      <c r="C36" s="158" t="s">
        <v>99</v>
      </c>
      <c r="D36" s="194" t="s">
        <v>100</v>
      </c>
      <c r="E36" s="158" t="s">
        <v>101</v>
      </c>
      <c r="F36" s="144" t="s">
        <v>102</v>
      </c>
      <c r="G36"/>
      <c r="H36"/>
      <c r="I36" s="271"/>
      <c r="J36" s="69"/>
      <c r="K36" s="252"/>
      <c r="L36" s="105"/>
      <c r="M36" s="275"/>
      <c r="N36" s="276"/>
      <c r="O36" s="257"/>
      <c r="P36" s="108"/>
      <c r="Q36" s="274"/>
      <c r="R36" s="429"/>
      <c r="S36" s="12"/>
      <c r="T36" s="8"/>
      <c r="U36" s="8"/>
      <c r="V36" s="8"/>
      <c r="W36" s="8"/>
      <c r="X36" s="8"/>
      <c r="Y36" s="8"/>
      <c r="Z36" s="8"/>
      <c r="AA36" s="8"/>
      <c r="AB36"/>
      <c r="AF36" s="8"/>
      <c r="AR36" s="61"/>
      <c r="AU36" s="61"/>
      <c r="AV36" s="61"/>
      <c r="AW36" s="61"/>
    </row>
    <row r="37" spans="1:82" s="1" customFormat="1" ht="13.5" customHeight="1" thickBot="1" x14ac:dyDescent="0.3">
      <c r="A37" s="186"/>
      <c r="B37" s="164">
        <f>B34+C34</f>
        <v>0</v>
      </c>
      <c r="C37" s="164">
        <f>C14</f>
        <v>0</v>
      </c>
      <c r="D37" s="203">
        <f>ROUND(E32,2)-B34-C34</f>
        <v>0</v>
      </c>
      <c r="E37" s="96">
        <f>C13-C14</f>
        <v>0</v>
      </c>
      <c r="F37" s="218">
        <v>0</v>
      </c>
      <c r="I37" s="5"/>
      <c r="J37" s="69"/>
      <c r="K37" s="104"/>
      <c r="L37" s="251"/>
      <c r="M37" s="275"/>
      <c r="N37" s="276"/>
      <c r="O37" s="253"/>
      <c r="P37" s="108"/>
      <c r="Q37" s="84"/>
      <c r="R37" s="429"/>
      <c r="S37" s="12"/>
      <c r="T37" s="8"/>
      <c r="U37" s="8"/>
      <c r="V37" s="8"/>
      <c r="W37" s="8"/>
      <c r="X37" s="8"/>
      <c r="Y37" s="8"/>
      <c r="Z37" s="8"/>
      <c r="AA37" s="8"/>
      <c r="AB37"/>
      <c r="AF37" s="8"/>
      <c r="AR37" s="59"/>
      <c r="AU37" s="59"/>
      <c r="AV37" s="59"/>
      <c r="AW37" s="59"/>
    </row>
    <row r="38" spans="1:82" s="1" customFormat="1" ht="13.5" customHeight="1" thickBot="1" x14ac:dyDescent="0.3">
      <c r="A38" s="168"/>
      <c r="B38" s="169"/>
      <c r="C38" s="170"/>
      <c r="D38" s="170"/>
      <c r="E38" s="169"/>
      <c r="F38" s="171"/>
      <c r="I38" s="5"/>
      <c r="J38" s="4"/>
      <c r="K38"/>
      <c r="L38" s="64"/>
      <c r="M38" s="275"/>
      <c r="N38" s="276"/>
      <c r="O38" s="111"/>
      <c r="P38" s="62"/>
      <c r="Q38" s="84"/>
      <c r="S38" s="18"/>
      <c r="T38" s="63"/>
      <c r="U38" s="8"/>
      <c r="V38" s="8"/>
      <c r="W38" s="8"/>
      <c r="X38" s="8"/>
      <c r="Y38" s="8"/>
      <c r="Z38" s="8"/>
      <c r="AA38" s="8"/>
      <c r="AB38"/>
      <c r="AF38" s="8"/>
      <c r="AR38" s="59"/>
      <c r="AU38" s="59"/>
      <c r="AV38" s="59"/>
      <c r="AW38" s="59"/>
    </row>
    <row r="39" spans="1:82" s="1" customFormat="1" ht="13.5" customHeight="1" thickBot="1" x14ac:dyDescent="0.3">
      <c r="A39" s="201" t="s">
        <v>13</v>
      </c>
      <c r="B39" s="210" t="s">
        <v>5</v>
      </c>
      <c r="C39" s="211" t="s">
        <v>6</v>
      </c>
      <c r="D39" s="211" t="s">
        <v>91</v>
      </c>
      <c r="E39" s="214" t="s">
        <v>92</v>
      </c>
      <c r="F39" s="213" t="s">
        <v>160</v>
      </c>
      <c r="I39" s="5"/>
      <c r="J39" s="4"/>
      <c r="K39"/>
      <c r="L39"/>
      <c r="M39" s="106"/>
      <c r="N39" s="241"/>
      <c r="O39" s="254"/>
      <c r="P39" s="8"/>
      <c r="Q39" s="64"/>
      <c r="AR39" s="59"/>
      <c r="AU39" s="59"/>
      <c r="AV39" s="59"/>
      <c r="AW39" s="59"/>
    </row>
    <row r="40" spans="1:82" s="1" customFormat="1" ht="13.5" customHeight="1" thickBot="1" x14ac:dyDescent="0.3">
      <c r="A40" s="148"/>
      <c r="B40" s="200">
        <v>46174</v>
      </c>
      <c r="C40" s="200">
        <v>46203</v>
      </c>
      <c r="D40" s="259">
        <f>NETWORKDAYS(B40,C40,0)-D42</f>
        <v>22</v>
      </c>
      <c r="E40" s="209">
        <f>C14*(D40/Q5)</f>
        <v>0</v>
      </c>
      <c r="F40" s="249">
        <f>SUM(B37,B45,)</f>
        <v>0</v>
      </c>
      <c r="I40" s="2"/>
      <c r="J40" s="4"/>
      <c r="K40"/>
      <c r="L40"/>
      <c r="M40"/>
      <c r="N40"/>
      <c r="O40" s="2"/>
      <c r="P40" s="483"/>
      <c r="Q40" s="483"/>
      <c r="R40"/>
      <c r="S40" s="8"/>
      <c r="T40" s="8"/>
      <c r="AR40" s="59"/>
      <c r="AU40" s="59"/>
      <c r="AV40" s="59"/>
      <c r="AW40" s="59"/>
    </row>
    <row r="41" spans="1:82" ht="13.5" customHeight="1" thickBot="1" x14ac:dyDescent="0.3">
      <c r="A41" s="193" t="s">
        <v>103</v>
      </c>
      <c r="B41" s="100" t="s">
        <v>94</v>
      </c>
      <c r="C41" s="100" t="s">
        <v>95</v>
      </c>
      <c r="D41" s="199" t="s">
        <v>96</v>
      </c>
      <c r="E41" s="1"/>
      <c r="F41" s="409" t="str">
        <f>IF(D45&gt;-0.51,  "Within 1/9th Compliance", "Reduce Compensation")</f>
        <v>Within 1/9th Compliance</v>
      </c>
      <c r="G41" s="88"/>
      <c r="H41" s="1"/>
      <c r="I41" s="68"/>
      <c r="J41" s="4"/>
      <c r="K41" s="1"/>
      <c r="L41" s="1"/>
      <c r="M41" s="481"/>
      <c r="N41" s="481"/>
      <c r="O41" s="102"/>
      <c r="P41" s="102"/>
      <c r="Q41" s="103"/>
      <c r="R41" s="1"/>
      <c r="S41" s="65"/>
      <c r="T41" s="8"/>
      <c r="Z41" s="18"/>
      <c r="AA41" s="18"/>
      <c r="AB41" s="58"/>
      <c r="AC41" s="1"/>
      <c r="AD41" s="1"/>
      <c r="AH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row>
    <row r="42" spans="1:82" s="1" customFormat="1" ht="13.8" thickBot="1" x14ac:dyDescent="0.3">
      <c r="A42" s="273">
        <f>IFERROR(C42/B45,0)</f>
        <v>0</v>
      </c>
      <c r="B42" s="207">
        <f>BY27</f>
        <v>0</v>
      </c>
      <c r="C42" s="208">
        <v>0</v>
      </c>
      <c r="D42" s="265">
        <v>0</v>
      </c>
      <c r="G42" s="183"/>
      <c r="I42" s="68"/>
      <c r="J42" s="58"/>
      <c r="K42" s="58"/>
      <c r="L42" s="58"/>
      <c r="M42"/>
      <c r="N42"/>
      <c r="O42" s="107"/>
      <c r="P42" s="108"/>
      <c r="Q42" s="274"/>
      <c r="R42" s="58"/>
      <c r="S42" s="65"/>
      <c r="T42" s="8"/>
      <c r="U42" s="8"/>
      <c r="V42" s="8"/>
      <c r="W42" s="8"/>
      <c r="X42" s="8"/>
      <c r="Y42" s="8"/>
      <c r="Z42"/>
      <c r="AA42"/>
      <c r="AC42" s="58"/>
      <c r="AD42" s="58"/>
      <c r="AF42" s="8"/>
      <c r="AH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row>
    <row r="43" spans="1:82" s="58" customFormat="1" ht="12.75" customHeight="1" x14ac:dyDescent="0.25">
      <c r="A43" s="121"/>
      <c r="B43" s="1"/>
      <c r="C43" s="1"/>
      <c r="D43" s="101"/>
      <c r="E43" s="492" t="s">
        <v>97</v>
      </c>
      <c r="F43" s="493"/>
      <c r="G43"/>
      <c r="H43"/>
      <c r="I43" s="68"/>
      <c r="J43" s="69"/>
      <c r="K43" s="104"/>
      <c r="L43" s="105"/>
      <c r="M43" s="275"/>
      <c r="N43" s="96"/>
      <c r="O43" s="109"/>
      <c r="P43" s="108"/>
      <c r="Q43" s="274"/>
      <c r="R43" s="429"/>
      <c r="AC43" s="65"/>
      <c r="AD43" s="8"/>
      <c r="AE43"/>
      <c r="AF43"/>
      <c r="AH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row>
    <row r="44" spans="1:82" s="58" customFormat="1" ht="12.75" customHeight="1" thickBot="1" x14ac:dyDescent="0.3">
      <c r="A44" s="183"/>
      <c r="B44" s="158" t="s">
        <v>98</v>
      </c>
      <c r="C44" s="158" t="s">
        <v>99</v>
      </c>
      <c r="D44" s="194" t="s">
        <v>100</v>
      </c>
      <c r="E44" s="158" t="s">
        <v>101</v>
      </c>
      <c r="F44" s="144" t="s">
        <v>102</v>
      </c>
      <c r="G44"/>
      <c r="H44"/>
      <c r="I44" s="68"/>
      <c r="J44" s="69"/>
      <c r="K44" s="104"/>
      <c r="L44" s="105"/>
      <c r="M44" s="275"/>
      <c r="N44" s="276"/>
      <c r="O44" s="261"/>
      <c r="P44" s="108"/>
      <c r="Q44" s="428"/>
      <c r="R44" s="429"/>
      <c r="AC44" s="65"/>
      <c r="AD44" s="8"/>
      <c r="AE44"/>
      <c r="AF44"/>
      <c r="AH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row>
    <row r="45" spans="1:82" s="1" customFormat="1" ht="14.25" customHeight="1" thickBot="1" x14ac:dyDescent="0.3">
      <c r="A45" s="183"/>
      <c r="B45" s="205">
        <f>B42+C42</f>
        <v>0</v>
      </c>
      <c r="C45" s="164">
        <f>C14</f>
        <v>0</v>
      </c>
      <c r="D45" s="203">
        <f>ROUND(E40, 2)-B42-C42</f>
        <v>0</v>
      </c>
      <c r="E45" s="164">
        <f>C13-C14</f>
        <v>0</v>
      </c>
      <c r="F45" s="206">
        <v>0</v>
      </c>
      <c r="G45" s="96"/>
      <c r="H45" s="270" t="s">
        <v>28</v>
      </c>
      <c r="I45" s="68"/>
      <c r="J45" s="69"/>
      <c r="K45" s="104"/>
      <c r="L45" s="427"/>
      <c r="M45" s="275"/>
      <c r="N45" s="276"/>
      <c r="O45" s="261"/>
      <c r="P45" s="108"/>
      <c r="Q45" s="428"/>
      <c r="R45" s="429"/>
      <c r="S45" s="8"/>
      <c r="T45" s="8"/>
      <c r="AG45" s="58"/>
      <c r="AH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row>
    <row r="46" spans="1:82" s="1" customFormat="1" ht="13.5" customHeight="1" thickBot="1" x14ac:dyDescent="0.3">
      <c r="A46" s="141"/>
      <c r="B46" s="158"/>
      <c r="C46" s="143"/>
      <c r="D46" s="154"/>
      <c r="E46" s="142"/>
      <c r="F46" s="144"/>
      <c r="G46" s="96" t="s">
        <v>28</v>
      </c>
      <c r="H46" s="248"/>
      <c r="I46" s="68"/>
      <c r="J46" s="69"/>
      <c r="K46" s="104"/>
      <c r="L46" s="427"/>
      <c r="M46" s="275"/>
      <c r="N46" s="276"/>
      <c r="O46" s="262"/>
      <c r="P46" s="108"/>
      <c r="Q46" s="274"/>
      <c r="R46" s="429"/>
      <c r="S46"/>
      <c r="T46"/>
      <c r="U46"/>
      <c r="V46"/>
      <c r="W46"/>
      <c r="X46"/>
      <c r="Y46"/>
    </row>
    <row r="47" spans="1:82" s="1" customFormat="1" ht="13.5" customHeight="1" thickBot="1" x14ac:dyDescent="0.3">
      <c r="A47" s="201" t="s">
        <v>16</v>
      </c>
      <c r="B47" s="210" t="s">
        <v>5</v>
      </c>
      <c r="C47" s="211" t="s">
        <v>6</v>
      </c>
      <c r="D47" s="211" t="s">
        <v>91</v>
      </c>
      <c r="E47" s="212" t="s">
        <v>92</v>
      </c>
      <c r="F47" s="213" t="s">
        <v>159</v>
      </c>
      <c r="G47" s="73" t="s">
        <v>28</v>
      </c>
      <c r="H47"/>
      <c r="K47" s="104"/>
      <c r="L47" s="105"/>
      <c r="M47" s="106"/>
      <c r="N47" s="241"/>
      <c r="O47" s="107"/>
      <c r="P47" s="108"/>
      <c r="Q47" s="274"/>
      <c r="R47" s="429"/>
    </row>
    <row r="48" spans="1:82" s="1" customFormat="1" ht="13.5" customHeight="1" thickBot="1" x14ac:dyDescent="0.3">
      <c r="A48" s="148"/>
      <c r="B48" s="200">
        <v>46204</v>
      </c>
      <c r="C48" s="200">
        <v>46234</v>
      </c>
      <c r="D48" s="259">
        <f>NETWORKDAYS(B48,C48,0)-D50</f>
        <v>23</v>
      </c>
      <c r="E48" s="202">
        <f>IF(B17="Yes",C26*(D48/Q6),C14*(D48/Q6))</f>
        <v>16665.333333333332</v>
      </c>
      <c r="F48" s="221">
        <f>SUM(B53,B45,B37)</f>
        <v>0</v>
      </c>
      <c r="G48"/>
      <c r="H48"/>
      <c r="K48" s="104"/>
      <c r="L48" s="105"/>
      <c r="M48" s="106"/>
      <c r="N48" s="8"/>
      <c r="O48" s="105"/>
      <c r="P48" s="114"/>
      <c r="Q48" s="65"/>
      <c r="R48" s="429"/>
      <c r="S48"/>
      <c r="T48"/>
      <c r="U48"/>
      <c r="V48"/>
      <c r="W48"/>
      <c r="X48"/>
      <c r="Y48"/>
    </row>
    <row r="49" spans="1:87" s="1" customFormat="1" ht="13.5" customHeight="1" thickBot="1" x14ac:dyDescent="0.3">
      <c r="A49" s="193" t="s">
        <v>104</v>
      </c>
      <c r="B49" s="100" t="s">
        <v>94</v>
      </c>
      <c r="C49" s="193" t="s">
        <v>95</v>
      </c>
      <c r="D49" s="194" t="s">
        <v>96</v>
      </c>
      <c r="F49" s="226" t="str">
        <f>IF(D53&gt;-0.51,  "Within 1/9th Compliance", "Reduce Compensation")</f>
        <v>Within 1/9th Compliance</v>
      </c>
      <c r="I49" s="5"/>
      <c r="J49" s="264"/>
      <c r="K49" s="112"/>
      <c r="L49" s="113"/>
      <c r="M49" s="276"/>
      <c r="N49" s="256"/>
      <c r="O49" s="431"/>
      <c r="P49" s="431"/>
      <c r="Q49" s="431"/>
      <c r="R49" s="431"/>
      <c r="S49"/>
      <c r="T49"/>
      <c r="U49"/>
      <c r="V49"/>
      <c r="W49"/>
      <c r="X49"/>
      <c r="Y49"/>
      <c r="Z49"/>
    </row>
    <row r="50" spans="1:87" s="1" customFormat="1" ht="13.5" customHeight="1" thickBot="1" x14ac:dyDescent="0.3">
      <c r="A50" s="273">
        <f>IFERROR(C50/B53,0)</f>
        <v>0</v>
      </c>
      <c r="B50" s="207">
        <f>CA27</f>
        <v>0</v>
      </c>
      <c r="C50" s="208">
        <v>0</v>
      </c>
      <c r="D50" s="265">
        <v>0</v>
      </c>
      <c r="F50" s="198"/>
      <c r="G50" s="8"/>
      <c r="H50" s="8"/>
      <c r="I50" s="2"/>
      <c r="J50" s="69"/>
      <c r="K50" s="70" t="s">
        <v>28</v>
      </c>
      <c r="L50" s="113"/>
      <c r="M50" s="277"/>
      <c r="N50" s="256"/>
      <c r="O50" s="252"/>
      <c r="P50" s="278"/>
      <c r="Q50" s="278"/>
      <c r="R50" s="278"/>
      <c r="S50"/>
      <c r="T50"/>
      <c r="U50"/>
      <c r="V50"/>
      <c r="W50"/>
      <c r="X50"/>
      <c r="Y50"/>
    </row>
    <row r="51" spans="1:87" s="1" customFormat="1" ht="13.5" customHeight="1" x14ac:dyDescent="0.25">
      <c r="A51" s="121"/>
      <c r="B51" s="100"/>
      <c r="C51" s="69"/>
      <c r="D51" s="58"/>
      <c r="E51" s="492" t="s">
        <v>97</v>
      </c>
      <c r="F51" s="493"/>
      <c r="G51" s="8"/>
      <c r="H51" s="8"/>
      <c r="I51" s="58"/>
      <c r="J51" s="69"/>
      <c r="K51" s="70"/>
      <c r="L51" s="113"/>
      <c r="M51" s="263"/>
      <c r="N51" s="274"/>
      <c r="P51" s="71"/>
      <c r="Q51" s="65"/>
      <c r="R51"/>
      <c r="S51"/>
      <c r="T51"/>
      <c r="U51"/>
      <c r="V51"/>
      <c r="W51"/>
      <c r="X51"/>
      <c r="Y51"/>
      <c r="Z51"/>
    </row>
    <row r="52" spans="1:87" s="1" customFormat="1" ht="13.5" customHeight="1" thickBot="1" x14ac:dyDescent="0.3">
      <c r="A52" s="186"/>
      <c r="B52" s="158" t="s">
        <v>98</v>
      </c>
      <c r="C52" s="158" t="s">
        <v>99</v>
      </c>
      <c r="D52" s="194" t="s">
        <v>100</v>
      </c>
      <c r="E52" s="158" t="s">
        <v>101</v>
      </c>
      <c r="F52" s="384" t="s">
        <v>102</v>
      </c>
      <c r="G52" s="8"/>
      <c r="H52" s="8"/>
      <c r="I52" s="68"/>
      <c r="J52" s="69"/>
      <c r="K52" s="112"/>
      <c r="M52"/>
      <c r="N52"/>
      <c r="O52" s="72"/>
      <c r="Q52" s="18"/>
      <c r="R52"/>
      <c r="S52"/>
      <c r="T52"/>
      <c r="U52"/>
      <c r="V52"/>
      <c r="W52"/>
      <c r="X52"/>
      <c r="Y52"/>
    </row>
    <row r="53" spans="1:87" s="1" customFormat="1" ht="13.5" customHeight="1" thickBot="1" x14ac:dyDescent="0.3">
      <c r="A53" s="186"/>
      <c r="B53" s="205">
        <f>B50+C50</f>
        <v>0</v>
      </c>
      <c r="C53" s="164">
        <f>IF(B17="Yes",C26,C14)</f>
        <v>16665.333333333332</v>
      </c>
      <c r="D53" s="203">
        <f>ROUND(E48, 2)-B50-C50</f>
        <v>16665.330000000002</v>
      </c>
      <c r="E53" s="164">
        <f>IF(B17="Yes",(C25-C26),C13-C14)</f>
        <v>0</v>
      </c>
      <c r="F53" s="206"/>
      <c r="G53" s="8"/>
      <c r="H53" s="8"/>
      <c r="I53" s="68"/>
      <c r="J53" s="4"/>
      <c r="K53"/>
      <c r="L53" s="113"/>
      <c r="M53" s="65"/>
      <c r="N53" s="256"/>
      <c r="O53" s="96"/>
      <c r="Q53" s="58"/>
      <c r="R53"/>
      <c r="S53"/>
      <c r="T53"/>
      <c r="U53"/>
      <c r="V53"/>
      <c r="W53"/>
      <c r="Z53" s="58"/>
    </row>
    <row r="54" spans="1:87" s="1" customFormat="1" ht="13.5" customHeight="1" thickBot="1" x14ac:dyDescent="0.3">
      <c r="A54" s="141"/>
      <c r="B54" s="154"/>
      <c r="C54" s="143"/>
      <c r="D54" s="145"/>
      <c r="E54" s="146"/>
      <c r="F54" s="147"/>
      <c r="I54" s="68"/>
      <c r="J54" s="4"/>
      <c r="K54"/>
      <c r="L54" s="113"/>
      <c r="M54" s="65"/>
      <c r="N54" s="256"/>
      <c r="O54" s="96"/>
      <c r="P54" s="72"/>
      <c r="Q54" s="58"/>
      <c r="R54"/>
      <c r="S54"/>
      <c r="T54"/>
      <c r="U54"/>
      <c r="V54"/>
      <c r="W54"/>
      <c r="X54" s="58"/>
      <c r="Y54" s="58"/>
    </row>
    <row r="55" spans="1:87" ht="13.5" customHeight="1" thickBot="1" x14ac:dyDescent="0.3">
      <c r="A55" s="201" t="s">
        <v>19</v>
      </c>
      <c r="B55" s="210" t="s">
        <v>5</v>
      </c>
      <c r="C55" s="211" t="s">
        <v>6</v>
      </c>
      <c r="D55" s="211" t="s">
        <v>91</v>
      </c>
      <c r="E55" s="212" t="s">
        <v>92</v>
      </c>
      <c r="F55" s="215" t="s">
        <v>105</v>
      </c>
      <c r="G55" s="1"/>
      <c r="H55" s="1"/>
      <c r="I55" s="68"/>
      <c r="J55" s="4"/>
      <c r="L55" s="113"/>
      <c r="M55" s="65"/>
      <c r="N55" s="256"/>
      <c r="Q55" s="247"/>
      <c r="X55" s="58"/>
      <c r="Y55" s="58"/>
      <c r="Z55" s="1"/>
      <c r="AA55" s="1"/>
      <c r="AB55" s="1"/>
      <c r="AG55" s="1"/>
      <c r="AH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87" ht="13.5" customHeight="1" thickBot="1" x14ac:dyDescent="0.3">
      <c r="A56" s="266"/>
      <c r="B56" s="200">
        <v>46235</v>
      </c>
      <c r="C56" s="200">
        <v>46246</v>
      </c>
      <c r="D56" s="259">
        <f>NETWORKDAYS(B56,C56,0)-D58-E58</f>
        <v>8</v>
      </c>
      <c r="E56" s="395">
        <f>IF(B17="Yes",IF(B37&gt;(C26-M26),-(B37-C26),M26),IF(B37&gt;(C14-M24),-(B37-C14),M24))</f>
        <v>6348.6984126984125</v>
      </c>
      <c r="F56" s="221">
        <f>B37+B61</f>
        <v>0</v>
      </c>
      <c r="H56" s="1"/>
      <c r="L56" s="113"/>
      <c r="M56" s="65"/>
      <c r="N56" s="256"/>
      <c r="O56" s="64"/>
      <c r="P56" s="73"/>
      <c r="Q56" s="164"/>
      <c r="R56" s="256"/>
      <c r="S56" s="1"/>
      <c r="T56" s="1"/>
      <c r="U56" s="1"/>
      <c r="V56" s="1"/>
      <c r="W56" s="1"/>
      <c r="X56" s="1"/>
      <c r="Y56" s="1"/>
      <c r="Z56" s="1"/>
      <c r="AA56" s="72"/>
      <c r="AB56" s="72"/>
    </row>
    <row r="57" spans="1:87" ht="13.8" thickBot="1" x14ac:dyDescent="0.3">
      <c r="A57" s="193" t="s">
        <v>106</v>
      </c>
      <c r="B57" s="100" t="s">
        <v>94</v>
      </c>
      <c r="C57" s="100" t="s">
        <v>95</v>
      </c>
      <c r="D57" s="199" t="s">
        <v>96</v>
      </c>
      <c r="E57" s="408"/>
      <c r="F57" s="226" t="str">
        <f>IF(D61&lt;-0.51, "Reduce Compensation", "Within 3/9th Compliance")</f>
        <v>Within 3/9th Compliance</v>
      </c>
      <c r="H57" s="1"/>
      <c r="Q57" s="256"/>
      <c r="R57" s="8"/>
      <c r="S57" s="1"/>
      <c r="T57" s="1"/>
      <c r="U57" s="1"/>
      <c r="V57" s="1"/>
      <c r="W57" s="1"/>
      <c r="Z57" s="1"/>
    </row>
    <row r="58" spans="1:87" ht="13.8" thickBot="1" x14ac:dyDescent="0.3">
      <c r="A58" s="273">
        <f>IFERROR(C58/B61,0)</f>
        <v>0</v>
      </c>
      <c r="B58" s="207">
        <f>CC27</f>
        <v>0</v>
      </c>
      <c r="C58" s="206">
        <v>0</v>
      </c>
      <c r="D58" s="386">
        <v>0</v>
      </c>
      <c r="E58" s="405"/>
      <c r="F58" s="120"/>
      <c r="I58" s="68"/>
      <c r="J58" s="126"/>
      <c r="K58" s="126"/>
      <c r="O58" s="79"/>
      <c r="P58" s="258"/>
      <c r="Q58" s="58"/>
      <c r="R58" s="8"/>
      <c r="S58" s="1"/>
      <c r="T58" s="1"/>
      <c r="U58" s="1"/>
      <c r="V58" s="1"/>
      <c r="W58" s="1"/>
      <c r="X58" s="1"/>
      <c r="Y58" s="1"/>
      <c r="Z58" s="72"/>
      <c r="AG58" s="73"/>
      <c r="AH58" s="73"/>
      <c r="AR58" s="73"/>
      <c r="AS58" s="73"/>
      <c r="AT58" s="73"/>
      <c r="AU58" s="73"/>
      <c r="AV58" s="73"/>
      <c r="AW58" s="73"/>
      <c r="AX58" s="73"/>
      <c r="AY58" s="73"/>
      <c r="AZ58" s="73"/>
      <c r="BA58" s="73"/>
      <c r="BB58" s="73"/>
      <c r="BC58" s="73"/>
      <c r="BD58" s="73"/>
      <c r="BE58" s="73"/>
      <c r="BF58" s="73"/>
      <c r="BG58" s="73"/>
      <c r="BH58" s="73"/>
      <c r="BI58" s="73"/>
      <c r="BJ58" s="73"/>
      <c r="BK58" s="73"/>
      <c r="CB58" s="4"/>
      <c r="CC58" s="4"/>
      <c r="CD58" s="4"/>
      <c r="CE58" s="4"/>
      <c r="CF58" s="4"/>
      <c r="CG58" s="4"/>
    </row>
    <row r="59" spans="1:87" x14ac:dyDescent="0.25">
      <c r="A59" s="121"/>
      <c r="B59" s="100"/>
      <c r="C59" s="69"/>
      <c r="D59" s="101"/>
      <c r="E59" s="492" t="s">
        <v>97</v>
      </c>
      <c r="F59" s="493"/>
      <c r="G59" s="1"/>
      <c r="H59" s="1"/>
      <c r="I59" s="68"/>
      <c r="J59" s="130"/>
      <c r="K59" s="130"/>
      <c r="L59" s="131"/>
      <c r="M59" s="131"/>
      <c r="N59" s="132"/>
      <c r="O59" s="79"/>
      <c r="P59" s="75"/>
      <c r="Q59" s="1"/>
      <c r="X59" s="58"/>
      <c r="Y59" s="58"/>
      <c r="AC59" s="64"/>
      <c r="AD59" s="64"/>
      <c r="AE59" s="64"/>
      <c r="BX59" s="64"/>
      <c r="BY59" s="64"/>
      <c r="BZ59" s="64"/>
      <c r="CA59" s="64"/>
      <c r="CB59" s="64"/>
      <c r="CC59" s="64"/>
      <c r="CD59" s="64"/>
      <c r="CE59" s="64"/>
      <c r="CF59" s="64"/>
      <c r="CG59" s="64"/>
    </row>
    <row r="60" spans="1:87" ht="18" thickBot="1" x14ac:dyDescent="0.35">
      <c r="A60" s="186"/>
      <c r="B60" s="158" t="s">
        <v>98</v>
      </c>
      <c r="C60" s="158" t="s">
        <v>99</v>
      </c>
      <c r="D60" s="194" t="s">
        <v>100</v>
      </c>
      <c r="E60" s="158" t="s">
        <v>101</v>
      </c>
      <c r="F60" s="144" t="s">
        <v>102</v>
      </c>
      <c r="G60" s="58"/>
      <c r="H60" s="58"/>
      <c r="I60" s="68"/>
      <c r="J60" s="130"/>
      <c r="K60" s="130"/>
      <c r="L60" s="131"/>
      <c r="M60" s="131"/>
      <c r="N60" s="132"/>
      <c r="O60" s="79"/>
      <c r="P60" s="79"/>
      <c r="Q60" s="1"/>
      <c r="R60" s="1"/>
      <c r="S60" s="1"/>
      <c r="T60" s="1"/>
      <c r="U60" s="1"/>
      <c r="V60" s="1"/>
      <c r="W60" s="1"/>
      <c r="X60" s="1"/>
      <c r="Y60" s="1"/>
      <c r="AA60" s="64"/>
      <c r="AB60" s="64"/>
      <c r="AC60" s="75"/>
      <c r="AD60" s="75"/>
      <c r="AE60" s="75"/>
      <c r="BX60" s="75"/>
      <c r="BY60" s="75"/>
      <c r="BZ60" s="75"/>
      <c r="CA60" s="75"/>
      <c r="CB60" s="75"/>
      <c r="CC60" s="75"/>
      <c r="CD60" s="75"/>
      <c r="CE60" s="75"/>
      <c r="CF60" s="76" t="s">
        <v>107</v>
      </c>
      <c r="CG60" s="77"/>
      <c r="CH60" s="78"/>
      <c r="CI60" s="78"/>
    </row>
    <row r="61" spans="1:87" ht="13.8" thickBot="1" x14ac:dyDescent="0.3">
      <c r="A61" s="186"/>
      <c r="B61" s="205">
        <f>B58+C58</f>
        <v>0</v>
      </c>
      <c r="C61" s="164">
        <f>IF(B17="Yes", C26,C14)</f>
        <v>16665.333333333332</v>
      </c>
      <c r="D61" s="203">
        <f>ROUND(E56, 2)-B58-C58</f>
        <v>6348.7</v>
      </c>
      <c r="E61" s="164">
        <f>IF(B17="Yes",(C25-C26),C13-C14)</f>
        <v>0</v>
      </c>
      <c r="F61" s="268"/>
      <c r="G61" s="8"/>
      <c r="H61" s="1"/>
      <c r="I61" s="68"/>
      <c r="J61" s="130"/>
      <c r="K61" s="130"/>
      <c r="L61" s="131"/>
      <c r="M61" s="131"/>
      <c r="N61" s="132"/>
      <c r="O61" s="79"/>
      <c r="P61" s="79"/>
      <c r="Q61" s="1"/>
      <c r="R61" s="58"/>
      <c r="S61" s="58"/>
      <c r="T61" s="58"/>
      <c r="U61" s="58"/>
      <c r="V61" s="58"/>
      <c r="W61" s="58"/>
      <c r="X61" s="1"/>
      <c r="Y61" s="1"/>
      <c r="AA61" s="75"/>
      <c r="AB61" s="75"/>
      <c r="AC61" s="80"/>
      <c r="AD61" s="80"/>
      <c r="AE61" s="80"/>
      <c r="BX61" s="80"/>
      <c r="BY61" s="80"/>
      <c r="BZ61" s="80"/>
      <c r="CA61" s="80"/>
      <c r="CB61" s="80"/>
      <c r="CC61" s="80"/>
      <c r="CD61" s="80"/>
      <c r="CE61" s="80"/>
      <c r="CF61" s="81" t="e">
        <f>IF(AND($C$71&gt;=CH61,$C$71&lt;=CI61),"yes","no")</f>
        <v>#REF!</v>
      </c>
      <c r="CG61" s="81" t="e">
        <f>IF(AND(#REF!&gt;=CH61,#REF!&lt;=CI61),"yes","no")</f>
        <v>#REF!</v>
      </c>
      <c r="CH61" s="82" t="e">
        <f>#REF!</f>
        <v>#REF!</v>
      </c>
      <c r="CI61" s="82" t="e">
        <f>#REF!</f>
        <v>#REF!</v>
      </c>
    </row>
    <row r="62" spans="1:87" ht="14.4" thickBot="1" x14ac:dyDescent="0.3">
      <c r="A62" s="148"/>
      <c r="B62" s="149"/>
      <c r="C62" s="150"/>
      <c r="D62" s="432"/>
      <c r="E62" s="490" t="s">
        <v>157</v>
      </c>
      <c r="F62" s="464"/>
      <c r="G62" s="8"/>
      <c r="H62" s="8"/>
      <c r="I62" s="5"/>
      <c r="J62" s="130"/>
      <c r="K62" s="130"/>
      <c r="L62" s="131"/>
      <c r="M62" s="131"/>
      <c r="N62" s="132"/>
      <c r="O62" s="79"/>
      <c r="P62" s="79"/>
      <c r="Q62" s="1"/>
      <c r="R62" s="1"/>
      <c r="S62" s="1"/>
      <c r="T62" s="1"/>
      <c r="U62" s="1"/>
      <c r="V62" s="1"/>
      <c r="W62" s="1"/>
      <c r="X62" s="1"/>
      <c r="Y62" s="1"/>
      <c r="Z62" s="64"/>
      <c r="AA62" s="79"/>
      <c r="AB62" s="79"/>
      <c r="AC62" s="80"/>
      <c r="AD62" s="80"/>
      <c r="AE62" s="80"/>
      <c r="BX62" s="80"/>
      <c r="BY62" s="80"/>
      <c r="BZ62" s="80"/>
      <c r="CA62" s="80"/>
      <c r="CB62" s="80"/>
      <c r="CC62" s="80"/>
      <c r="CD62" s="80"/>
      <c r="CE62" s="80"/>
      <c r="CF62" s="81" t="e">
        <f>IF(AND($C$71&gt;=CH62,$C$71&lt;=CI62),"yes","no")</f>
        <v>#REF!</v>
      </c>
      <c r="CG62" s="81" t="e">
        <f>IF(AND(#REF!&gt;=CH62,#REF!&lt;=CI62),"yes","no")</f>
        <v>#REF!</v>
      </c>
      <c r="CH62" s="82" t="e">
        <f>#REF!</f>
        <v>#REF!</v>
      </c>
      <c r="CI62" s="82" t="e">
        <f>#REF!</f>
        <v>#REF!</v>
      </c>
    </row>
    <row r="63" spans="1:87" ht="14.4" thickBot="1" x14ac:dyDescent="0.3">
      <c r="A63" s="461" t="s">
        <v>184</v>
      </c>
      <c r="B63" s="462"/>
      <c r="C63" s="462"/>
      <c r="D63" s="462"/>
      <c r="E63" s="491">
        <f>SUM(C45,C53,C61)</f>
        <v>33330.666666666664</v>
      </c>
      <c r="F63" s="466"/>
      <c r="G63" s="8"/>
      <c r="H63" s="8"/>
      <c r="I63" s="5"/>
      <c r="J63" s="130"/>
      <c r="K63" s="130"/>
      <c r="L63" s="131"/>
      <c r="M63" s="131"/>
      <c r="N63" s="132"/>
      <c r="O63" s="79"/>
      <c r="P63" s="79"/>
      <c r="Q63" s="1"/>
      <c r="R63" s="1"/>
      <c r="S63" s="1"/>
      <c r="T63" s="1"/>
      <c r="U63" s="1"/>
      <c r="V63" s="1"/>
      <c r="W63" s="1"/>
      <c r="X63" s="1"/>
      <c r="Y63" s="1"/>
      <c r="Z63" s="75"/>
      <c r="AA63" s="79"/>
      <c r="AB63" s="79"/>
      <c r="AC63" s="80"/>
      <c r="AD63" s="80"/>
      <c r="AE63" s="80"/>
      <c r="BX63" s="80"/>
      <c r="BY63" s="80"/>
      <c r="BZ63" s="80"/>
      <c r="CA63" s="80"/>
      <c r="CB63" s="80"/>
      <c r="CC63" s="80"/>
      <c r="CD63" s="80"/>
      <c r="CE63" s="80"/>
      <c r="CF63" s="81" t="e">
        <f>IF(AND($C$71&gt;=CH63,$C$71&lt;=CI63),"yes","no")</f>
        <v>#REF!</v>
      </c>
      <c r="CG63" s="81" t="e">
        <f>IF(AND(#REF!&gt;=CH63,#REF!&lt;=CI63),"yes","no")</f>
        <v>#REF!</v>
      </c>
      <c r="CH63" s="82" t="e">
        <f>#REF!</f>
        <v>#REF!</v>
      </c>
      <c r="CI63" s="82" t="e">
        <f>#REF!</f>
        <v>#REF!</v>
      </c>
    </row>
    <row r="64" spans="1:87" ht="14.4" thickBot="1" x14ac:dyDescent="0.3">
      <c r="E64" s="463" t="s">
        <v>158</v>
      </c>
      <c r="F64" s="464"/>
      <c r="G64" s="8"/>
      <c r="H64" s="8"/>
      <c r="I64" s="5"/>
      <c r="J64" s="130"/>
      <c r="K64" s="130"/>
      <c r="L64" s="131"/>
      <c r="M64" s="131"/>
      <c r="N64" s="132"/>
      <c r="O64" s="79"/>
      <c r="P64" s="79"/>
      <c r="Q64" s="1"/>
      <c r="R64" s="1"/>
      <c r="S64" s="1"/>
      <c r="T64" s="1"/>
      <c r="U64" s="1"/>
      <c r="V64" s="1"/>
      <c r="W64" s="1"/>
      <c r="X64" s="1"/>
      <c r="Y64" s="1"/>
      <c r="Z64" s="79"/>
      <c r="AA64" s="79"/>
      <c r="AB64" s="79"/>
      <c r="AC64" s="80"/>
      <c r="AD64" s="80"/>
      <c r="AE64" s="80"/>
      <c r="BX64" s="80"/>
      <c r="BY64" s="80"/>
      <c r="BZ64" s="80"/>
      <c r="CA64" s="80"/>
      <c r="CB64" s="80"/>
      <c r="CC64" s="80"/>
      <c r="CD64" s="80"/>
      <c r="CE64" s="80"/>
      <c r="CF64" s="81" t="e">
        <f>IF(AND($C$71&gt;=CH64,$C$71&lt;=CI64),"yes","no")</f>
        <v>#REF!</v>
      </c>
      <c r="CG64" s="81" t="e">
        <f>IF(AND(#REF!&gt;=CH64,#REF!&lt;=CI64),"yes","no")</f>
        <v>#REF!</v>
      </c>
      <c r="CH64" s="82" t="e">
        <f>#REF!</f>
        <v>#REF!</v>
      </c>
      <c r="CI64" s="82" t="e">
        <f>#REF!</f>
        <v>#REF!</v>
      </c>
    </row>
    <row r="65" spans="1:87" ht="14.4" thickBot="1" x14ac:dyDescent="0.3">
      <c r="E65" s="465">
        <f>SUM(B37,B45,B53,B61)</f>
        <v>0</v>
      </c>
      <c r="F65" s="466"/>
      <c r="I65" s="5"/>
      <c r="J65" s="130"/>
      <c r="K65" s="130"/>
      <c r="L65" s="131"/>
      <c r="M65" s="131"/>
      <c r="N65" s="132"/>
      <c r="O65" s="79"/>
      <c r="P65" s="79"/>
      <c r="Q65" s="1"/>
      <c r="R65" s="1"/>
      <c r="S65" s="1"/>
      <c r="T65" s="1"/>
      <c r="U65" s="1"/>
      <c r="V65" s="1"/>
      <c r="W65" s="1"/>
      <c r="X65" s="1"/>
      <c r="Y65" s="1"/>
      <c r="Z65" s="79"/>
      <c r="AA65" s="79"/>
      <c r="AB65" s="79"/>
      <c r="AC65" s="80"/>
      <c r="AD65" s="80"/>
      <c r="AE65" s="80"/>
      <c r="BX65" s="80"/>
      <c r="BY65" s="80"/>
      <c r="BZ65" s="80"/>
      <c r="CA65" s="80"/>
      <c r="CB65" s="80"/>
      <c r="CC65" s="80"/>
      <c r="CD65" s="80"/>
      <c r="CE65" s="80"/>
      <c r="CF65" s="81"/>
      <c r="CG65" s="81"/>
      <c r="CH65" s="82"/>
      <c r="CI65" s="82"/>
    </row>
    <row r="66" spans="1:87" x14ac:dyDescent="0.25">
      <c r="J66" s="130"/>
      <c r="K66" s="130"/>
      <c r="L66" s="131"/>
      <c r="M66" s="131"/>
      <c r="N66" s="132"/>
      <c r="O66" s="79"/>
      <c r="P66" s="79"/>
      <c r="Q66" s="72"/>
      <c r="R66" s="1"/>
      <c r="S66" s="1"/>
      <c r="T66" s="1"/>
      <c r="U66" s="1"/>
      <c r="V66" s="1"/>
      <c r="W66" s="1"/>
      <c r="X66" s="1"/>
      <c r="Y66" s="1"/>
      <c r="Z66" s="79"/>
      <c r="AA66" s="79"/>
      <c r="AB66" s="79"/>
      <c r="AC66" s="80"/>
      <c r="AD66" s="80"/>
      <c r="AE66" s="80"/>
      <c r="BX66" s="80"/>
      <c r="BY66" s="80"/>
      <c r="BZ66" s="80"/>
      <c r="CA66" s="80"/>
      <c r="CB66" s="80"/>
      <c r="CC66" s="80"/>
      <c r="CD66" s="80"/>
      <c r="CE66" s="80"/>
      <c r="CF66" s="81" t="e">
        <f>IF(AND($C$71&gt;=CH66,$C$71&lt;=CI66),"yes","no")</f>
        <v>#REF!</v>
      </c>
      <c r="CG66" s="81" t="e">
        <f>IF(AND(#REF!&gt;=CH66,#REF!&lt;=CI66),"yes","no")</f>
        <v>#REF!</v>
      </c>
      <c r="CH66" s="82" t="e">
        <f>#REF!</f>
        <v>#REF!</v>
      </c>
      <c r="CI66" s="82" t="e">
        <f>#REF!</f>
        <v>#REF!</v>
      </c>
    </row>
    <row r="67" spans="1:87" x14ac:dyDescent="0.25">
      <c r="A67" s="1"/>
      <c r="B67" s="1"/>
      <c r="C67" s="1"/>
      <c r="D67" s="1"/>
      <c r="E67" s="1"/>
      <c r="F67" s="1"/>
      <c r="G67" s="8"/>
      <c r="H67" s="8"/>
      <c r="I67" s="126"/>
      <c r="J67" s="130"/>
      <c r="K67" s="130"/>
      <c r="L67" s="131"/>
      <c r="M67" s="131"/>
      <c r="N67" s="136"/>
      <c r="O67" s="79"/>
      <c r="P67" s="79"/>
      <c r="R67" s="1"/>
      <c r="S67" s="1"/>
      <c r="T67" s="1"/>
      <c r="U67" s="1"/>
      <c r="V67" s="1"/>
      <c r="W67" s="1"/>
      <c r="X67" s="72"/>
      <c r="Y67" s="72"/>
      <c r="Z67" s="79"/>
      <c r="AA67" s="79"/>
      <c r="AB67" s="79"/>
      <c r="AC67" s="80"/>
      <c r="AD67" s="80"/>
      <c r="AE67" s="80"/>
      <c r="BX67" s="80"/>
      <c r="BY67" s="80"/>
      <c r="BZ67" s="80"/>
      <c r="CA67" s="80"/>
      <c r="CB67" s="80"/>
      <c r="CC67" s="80"/>
      <c r="CD67" s="80"/>
      <c r="CE67" s="80"/>
      <c r="CF67" s="81" t="e">
        <f>IF(AND($C$71&gt;=CH67,$C$71&lt;=CI67),"yes","no")</f>
        <v>#REF!</v>
      </c>
      <c r="CG67" s="81" t="e">
        <f>IF(AND(#REF!&gt;=CH67,#REF!&lt;=CI67),"yes","no")</f>
        <v>#REF!</v>
      </c>
      <c r="CH67" s="82" t="e">
        <f>#REF!</f>
        <v>#REF!</v>
      </c>
      <c r="CI67" s="82" t="e">
        <f>#REF!</f>
        <v>#REF!</v>
      </c>
    </row>
    <row r="68" spans="1:87" x14ac:dyDescent="0.25">
      <c r="A68" s="1"/>
      <c r="B68" s="1"/>
      <c r="C68" s="1"/>
      <c r="D68" s="1"/>
      <c r="E68" s="1"/>
      <c r="F68" s="1"/>
      <c r="G68" s="8"/>
      <c r="H68" s="8"/>
      <c r="I68" s="129"/>
      <c r="J68" s="135"/>
      <c r="K68" s="135"/>
      <c r="L68" s="136"/>
      <c r="M68" s="136"/>
      <c r="N68" s="57"/>
      <c r="O68" s="85"/>
      <c r="P68" s="79"/>
      <c r="R68" s="1"/>
      <c r="S68" s="1"/>
      <c r="T68" s="1"/>
      <c r="U68" s="1"/>
      <c r="V68" s="1"/>
      <c r="W68" s="1"/>
      <c r="Z68" s="79"/>
      <c r="AA68" s="79"/>
      <c r="AB68" s="79"/>
      <c r="AC68" s="80"/>
      <c r="AD68" s="80"/>
      <c r="AE68" s="80"/>
      <c r="BX68" s="80"/>
      <c r="BY68" s="80"/>
      <c r="BZ68" s="80"/>
      <c r="CA68" s="80"/>
      <c r="CB68" s="80"/>
      <c r="CC68" s="80"/>
      <c r="CD68" s="80"/>
      <c r="CE68" s="80"/>
      <c r="CF68" s="81" t="e">
        <f>IF(AND($C$71&gt;=CH68,$C$71&lt;=CI68),"yes","no")</f>
        <v>#REF!</v>
      </c>
      <c r="CG68" s="81" t="e">
        <f>IF(AND(#REF!&gt;=CH68,#REF!&lt;=CI68),"yes","no")</f>
        <v>#REF!</v>
      </c>
      <c r="CH68" s="82" t="e">
        <f>#REF!</f>
        <v>#REF!</v>
      </c>
      <c r="CI68" s="82" t="e">
        <f>#REF!</f>
        <v>#REF!</v>
      </c>
    </row>
    <row r="69" spans="1:87" x14ac:dyDescent="0.25">
      <c r="A69" s="1"/>
      <c r="B69" s="1"/>
      <c r="C69" s="1"/>
      <c r="D69" s="1"/>
      <c r="E69" s="1"/>
      <c r="F69" s="1"/>
      <c r="H69" s="8"/>
      <c r="I69" s="129"/>
      <c r="J69" s="65"/>
      <c r="K69" s="18"/>
      <c r="L69" s="57"/>
      <c r="M69" s="57"/>
      <c r="O69" s="64"/>
      <c r="P69" s="79"/>
      <c r="R69" s="72"/>
      <c r="S69" s="72"/>
      <c r="T69" s="72"/>
      <c r="U69" s="72"/>
      <c r="V69" s="72"/>
      <c r="W69" s="72"/>
      <c r="Z69" s="79"/>
      <c r="AA69" s="79"/>
      <c r="AB69" s="79"/>
      <c r="AC69" s="80"/>
      <c r="AD69" s="80"/>
      <c r="AE69" s="80"/>
      <c r="BX69" s="80"/>
      <c r="BY69" s="80"/>
      <c r="BZ69" s="80"/>
      <c r="CA69" s="80"/>
      <c r="CB69" s="80"/>
      <c r="CC69" s="80"/>
      <c r="CD69" s="80"/>
      <c r="CE69" s="80"/>
      <c r="CF69" s="81" t="e">
        <f>IF(AND($C$71&gt;=CH69,$C$71&lt;=CI69),"yes","no")</f>
        <v>#REF!</v>
      </c>
      <c r="CG69" s="81" t="e">
        <f>IF(AND(#REF!&gt;=CH69,#REF!&lt;=CI69),"yes","no")</f>
        <v>#REF!</v>
      </c>
      <c r="CH69" s="82" t="e">
        <f>#REF!</f>
        <v>#REF!</v>
      </c>
      <c r="CI69" s="82" t="e">
        <f>#REF!</f>
        <v>#REF!</v>
      </c>
    </row>
    <row r="70" spans="1:87" x14ac:dyDescent="0.25">
      <c r="D70"/>
      <c r="E70" t="s">
        <v>28</v>
      </c>
      <c r="G70" s="242"/>
      <c r="H70" s="242"/>
      <c r="K70" s="2"/>
      <c r="O70" s="84"/>
      <c r="P70" s="85"/>
      <c r="Q70" s="64"/>
      <c r="Z70" s="79"/>
      <c r="AA70" s="79"/>
      <c r="AB70" s="79"/>
      <c r="AC70" s="80"/>
      <c r="AD70" s="80"/>
      <c r="AE70" s="80"/>
      <c r="BX70" s="80"/>
      <c r="BY70" s="80"/>
      <c r="BZ70" s="80"/>
      <c r="CA70" s="80"/>
      <c r="CB70" s="80"/>
      <c r="CC70" s="80"/>
      <c r="CD70" s="80"/>
      <c r="CE70" s="80"/>
      <c r="CF70" s="81" t="str">
        <f>IF(AND($C$71&gt;=CH70,$C$71&lt;=CI70),"yes","no")</f>
        <v>yes</v>
      </c>
      <c r="CG70" s="81" t="e">
        <f>IF(AND(#REF!&gt;=CH70,#REF!&lt;=CI70),"yes","no")</f>
        <v>#REF!</v>
      </c>
      <c r="CH70" s="83"/>
      <c r="CI70" s="83"/>
    </row>
    <row r="71" spans="1:87" x14ac:dyDescent="0.25">
      <c r="A71" s="86"/>
      <c r="C71" s="124"/>
      <c r="F71" s="125"/>
      <c r="G71" s="73"/>
      <c r="O71" s="84"/>
      <c r="P71" s="64"/>
      <c r="Q71" s="75"/>
      <c r="X71" s="64"/>
      <c r="Y71" s="64"/>
      <c r="Z71" s="79"/>
      <c r="AA71" s="79"/>
      <c r="AB71" s="79"/>
      <c r="AC71" s="64"/>
      <c r="AD71" s="64"/>
      <c r="AE71" s="64"/>
      <c r="BX71" s="64"/>
      <c r="BY71" s="64"/>
      <c r="BZ71" s="64"/>
      <c r="CA71" s="64"/>
      <c r="CB71" s="64"/>
      <c r="CC71" s="64"/>
      <c r="CD71" s="64"/>
      <c r="CE71" s="64"/>
      <c r="CF71" s="64"/>
      <c r="CG71" s="64"/>
    </row>
    <row r="72" spans="1:87" x14ac:dyDescent="0.25">
      <c r="A72" s="86"/>
      <c r="B72" s="87"/>
      <c r="C72" s="100"/>
      <c r="D72" s="155"/>
      <c r="F72" s="137"/>
      <c r="G72" s="96" t="s">
        <v>28</v>
      </c>
      <c r="O72" s="84"/>
      <c r="P72" s="84"/>
      <c r="Q72" s="79"/>
      <c r="X72" s="75"/>
      <c r="Y72" s="75"/>
      <c r="Z72" s="79"/>
      <c r="AA72" s="85"/>
      <c r="AB72" s="85"/>
      <c r="AC72" s="64"/>
      <c r="AD72" s="64"/>
      <c r="AE72" s="64"/>
      <c r="AF72" s="64"/>
      <c r="BU72" s="64"/>
      <c r="BV72" s="64"/>
      <c r="BW72" s="64"/>
      <c r="BX72" s="64"/>
      <c r="BY72" s="64"/>
      <c r="BZ72" s="64"/>
      <c r="CA72" s="64"/>
      <c r="CB72" s="64"/>
      <c r="CC72" s="64"/>
      <c r="CD72" s="64"/>
      <c r="CE72" s="64"/>
      <c r="CF72" s="64"/>
      <c r="CG72" s="64"/>
    </row>
    <row r="73" spans="1:87" ht="13.5" customHeight="1" x14ac:dyDescent="0.25">
      <c r="A73" s="64"/>
      <c r="B73" s="64"/>
      <c r="C73" s="64"/>
      <c r="D73" s="157"/>
      <c r="E73" s="64"/>
      <c r="F73" s="64"/>
      <c r="N73" s="64"/>
      <c r="O73" s="64"/>
      <c r="P73" s="84"/>
      <c r="Q73" s="79"/>
      <c r="R73" s="64"/>
      <c r="S73" s="64"/>
      <c r="T73" s="64"/>
      <c r="U73" s="64"/>
      <c r="V73" s="64"/>
      <c r="W73" s="64"/>
      <c r="X73" s="79"/>
      <c r="Y73" s="79"/>
      <c r="Z73" s="79"/>
      <c r="AA73" s="64"/>
      <c r="AB73" s="64"/>
      <c r="AC73" s="64"/>
      <c r="AD73" s="64"/>
      <c r="AE73" s="64"/>
      <c r="AF73" s="64"/>
      <c r="AG73" s="64"/>
      <c r="AH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row>
    <row r="74" spans="1:87" s="1" customFormat="1" x14ac:dyDescent="0.25">
      <c r="A74" s="126"/>
      <c r="B74" s="126"/>
      <c r="C74" s="126"/>
      <c r="D74" s="126"/>
      <c r="E74" s="126"/>
      <c r="F74" s="126"/>
      <c r="G74"/>
      <c r="H74"/>
      <c r="I74" s="64"/>
      <c r="J74" s="64"/>
      <c r="K74" s="64"/>
      <c r="L74" s="64"/>
      <c r="M74" s="64"/>
      <c r="N74" s="75"/>
      <c r="O74" s="64"/>
      <c r="P74" s="84"/>
      <c r="Q74" s="79"/>
      <c r="R74" s="75"/>
      <c r="S74" s="75"/>
      <c r="T74" s="75"/>
      <c r="U74" s="75"/>
      <c r="V74" s="75"/>
      <c r="W74" s="75"/>
      <c r="X74" s="79"/>
      <c r="Y74" s="79"/>
      <c r="Z74" s="64"/>
      <c r="AA74" s="84"/>
      <c r="AB74" s="84"/>
      <c r="AC74" s="84"/>
      <c r="AD74" s="84"/>
      <c r="AE74" s="84"/>
      <c r="AF74" s="84"/>
      <c r="AG74" s="64"/>
      <c r="AH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84"/>
      <c r="BV74" s="84"/>
      <c r="BW74" s="84"/>
      <c r="BX74" s="84"/>
      <c r="BY74" s="84"/>
      <c r="BZ74" s="84"/>
      <c r="CA74" s="84"/>
      <c r="CB74" s="84"/>
      <c r="CC74" s="84"/>
      <c r="CD74" s="84"/>
      <c r="CE74" s="84"/>
      <c r="CF74" s="84"/>
      <c r="CG74" s="84"/>
      <c r="CH74" s="88"/>
    </row>
    <row r="75" spans="1:87" s="1" customFormat="1" x14ac:dyDescent="0.25">
      <c r="A75" s="65"/>
      <c r="B75" s="127"/>
      <c r="C75" s="74"/>
      <c r="D75" s="156"/>
      <c r="E75" s="128"/>
      <c r="F75" s="129"/>
      <c r="G75"/>
      <c r="H75"/>
      <c r="I75" s="126"/>
      <c r="J75" s="126"/>
      <c r="K75" s="126"/>
      <c r="L75" s="126"/>
      <c r="M75" s="126"/>
      <c r="N75" s="138"/>
      <c r="O75" s="64"/>
      <c r="P75" s="64"/>
      <c r="Q75" s="79"/>
      <c r="R75" s="79"/>
      <c r="S75" s="79"/>
      <c r="T75" s="79"/>
      <c r="U75" s="79"/>
      <c r="V75" s="79"/>
      <c r="W75" s="79"/>
      <c r="X75" s="79"/>
      <c r="Y75" s="79"/>
      <c r="Z75" s="64"/>
      <c r="AA75" s="84"/>
      <c r="AB75" s="84"/>
      <c r="AC75" s="84"/>
      <c r="AD75" s="84"/>
      <c r="AE75" s="84"/>
      <c r="AF75" s="84"/>
      <c r="AG75" s="84"/>
      <c r="AH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row>
    <row r="76" spans="1:87" s="1" customFormat="1" x14ac:dyDescent="0.25">
      <c r="A76" s="65"/>
      <c r="B76" s="133"/>
      <c r="C76" s="74"/>
      <c r="D76" s="156"/>
      <c r="E76" s="128"/>
      <c r="F76" s="129"/>
      <c r="G76" s="126"/>
      <c r="H76" s="126"/>
      <c r="I76" s="129"/>
      <c r="J76" s="130"/>
      <c r="K76" s="130"/>
      <c r="L76" s="131"/>
      <c r="M76" s="131"/>
      <c r="N76" s="138"/>
      <c r="O76" s="64"/>
      <c r="P76" s="64"/>
      <c r="Q76" s="64"/>
      <c r="R76" s="79"/>
      <c r="S76" s="79"/>
      <c r="T76" s="79"/>
      <c r="U76" s="79"/>
      <c r="V76" s="79"/>
      <c r="W76" s="79"/>
      <c r="X76" s="79"/>
      <c r="Y76" s="79"/>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row>
    <row r="77" spans="1:87" ht="17.399999999999999" x14ac:dyDescent="0.3">
      <c r="A77" s="65"/>
      <c r="B77" s="133"/>
      <c r="C77" s="74"/>
      <c r="D77" s="156"/>
      <c r="E77" s="128"/>
      <c r="F77" s="129"/>
      <c r="G77" s="129"/>
      <c r="H77" s="129"/>
      <c r="I77" s="129"/>
      <c r="J77" s="130"/>
      <c r="K77" s="130"/>
      <c r="L77" s="131"/>
      <c r="M77" s="131"/>
      <c r="N77" s="138"/>
      <c r="P77" s="64"/>
      <c r="Q77" s="64"/>
      <c r="R77" s="79"/>
      <c r="S77" s="79"/>
      <c r="T77" s="79"/>
      <c r="U77" s="79"/>
      <c r="V77" s="79"/>
      <c r="W77" s="79"/>
      <c r="X77" s="64"/>
      <c r="Y77" s="64"/>
      <c r="Z77" s="84"/>
      <c r="AA77" s="64"/>
      <c r="AB77" s="64"/>
      <c r="AC77" s="64"/>
      <c r="AD77" s="64"/>
      <c r="AE77" s="64"/>
      <c r="AF77" s="6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64"/>
      <c r="BV77" s="64"/>
      <c r="BW77" s="64"/>
      <c r="BX77" s="64"/>
      <c r="BY77" s="64"/>
      <c r="BZ77" s="64"/>
      <c r="CA77" s="64"/>
      <c r="CB77" s="64"/>
      <c r="CC77" s="64"/>
      <c r="CD77" s="64"/>
      <c r="CE77" s="64"/>
      <c r="CF77" s="76" t="s">
        <v>107</v>
      </c>
      <c r="CG77" s="77"/>
      <c r="CH77" s="78"/>
      <c r="CI77" s="78"/>
    </row>
    <row r="78" spans="1:87" x14ac:dyDescent="0.25">
      <c r="A78" s="65"/>
      <c r="B78" s="133"/>
      <c r="C78" s="74"/>
      <c r="D78" s="156"/>
      <c r="E78" s="128"/>
      <c r="F78" s="129"/>
      <c r="G78" s="129"/>
      <c r="H78" s="129"/>
      <c r="I78" s="129"/>
      <c r="J78" s="130"/>
      <c r="K78" s="130"/>
      <c r="L78" s="131"/>
      <c r="M78" s="131"/>
      <c r="N78" s="138"/>
      <c r="P78" s="64"/>
      <c r="Q78" s="64"/>
      <c r="R78" s="64"/>
      <c r="S78" s="64"/>
      <c r="T78" s="64"/>
      <c r="U78" s="64"/>
      <c r="V78" s="64"/>
      <c r="W78" s="64"/>
      <c r="X78" s="64"/>
      <c r="Y78" s="64"/>
      <c r="Z78" s="8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81" t="e">
        <f>IF(AND(#REF!&gt;=CH78,#REF!&lt;=CI78),"yes","no")</f>
        <v>#REF!</v>
      </c>
      <c r="CG78" s="81" t="str">
        <f>IF(AND($C$72&gt;CH78,$C$72&lt;=CI78),"yes","no")</f>
        <v>no</v>
      </c>
      <c r="CH78" s="89">
        <f>B75</f>
        <v>0</v>
      </c>
      <c r="CI78" s="89">
        <f>E75</f>
        <v>0</v>
      </c>
    </row>
    <row r="79" spans="1:87" x14ac:dyDescent="0.25">
      <c r="A79" s="65"/>
      <c r="B79" s="133"/>
      <c r="C79" s="74"/>
      <c r="D79" s="156"/>
      <c r="E79" s="128"/>
      <c r="F79" s="129"/>
      <c r="I79" s="129"/>
      <c r="J79" s="130"/>
      <c r="K79" s="130"/>
      <c r="L79" s="131"/>
      <c r="M79" s="131"/>
      <c r="N79" s="138"/>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81" t="e">
        <f>IF(AND(#REF!&gt;=CH79,#REF!&lt;=CI79),"yes","no")</f>
        <v>#REF!</v>
      </c>
      <c r="CG79" s="81" t="str">
        <f>IF(AND($C$72&gt;CH79,$C$72&lt;=CI79),"yes","no")</f>
        <v>no</v>
      </c>
      <c r="CH79" s="89">
        <f>B76</f>
        <v>0</v>
      </c>
      <c r="CI79" s="89">
        <f>E76</f>
        <v>0</v>
      </c>
    </row>
    <row r="80" spans="1:87" x14ac:dyDescent="0.25">
      <c r="A80" s="65"/>
      <c r="B80" s="133"/>
      <c r="C80" s="74"/>
      <c r="D80" s="156"/>
      <c r="E80" s="128"/>
      <c r="F80" s="129"/>
      <c r="I80" s="129"/>
      <c r="J80" s="130"/>
      <c r="K80" s="130"/>
      <c r="L80" s="131"/>
      <c r="M80" s="131"/>
      <c r="N80" s="138"/>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81" t="e">
        <f>IF(AND(#REF!&gt;=CH80,#REF!&lt;=CI80),"yes","no")</f>
        <v>#REF!</v>
      </c>
      <c r="CG80" s="81" t="str">
        <f>IF(AND($C$72&gt;CH80,$C$72&lt;=CI80),"yes","no")</f>
        <v>no</v>
      </c>
      <c r="CH80" s="89">
        <f>B77</f>
        <v>0</v>
      </c>
      <c r="CI80" s="89">
        <f>E77</f>
        <v>0</v>
      </c>
    </row>
    <row r="81" spans="1:87" x14ac:dyDescent="0.25">
      <c r="A81" s="65"/>
      <c r="B81" s="133"/>
      <c r="C81" s="74"/>
      <c r="D81" s="156"/>
      <c r="E81" s="128"/>
      <c r="F81" s="129"/>
      <c r="I81" s="129"/>
      <c r="J81" s="130"/>
      <c r="K81" s="130"/>
      <c r="L81" s="131"/>
      <c r="M81" s="131"/>
      <c r="N81" s="138"/>
      <c r="Q81" s="64"/>
      <c r="R81" s="64"/>
      <c r="S81" s="64"/>
      <c r="T81" s="64"/>
      <c r="U81" s="64"/>
      <c r="V81" s="64"/>
      <c r="W81" s="64"/>
      <c r="X81" s="64"/>
      <c r="Y81" s="64"/>
      <c r="Z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CF81" s="81" t="e">
        <f>IF(AND(#REF!&gt;=CH81,#REF!&lt;=CI81),"yes","no")</f>
        <v>#REF!</v>
      </c>
      <c r="CG81" s="81" t="str">
        <f>IF(AND($C$72&gt;CH81,$C$72&lt;=CI81),"yes","no")</f>
        <v>no</v>
      </c>
      <c r="CH81" s="89">
        <f>B78</f>
        <v>0</v>
      </c>
      <c r="CI81" s="89">
        <f>E78</f>
        <v>0</v>
      </c>
    </row>
    <row r="82" spans="1:87" x14ac:dyDescent="0.25">
      <c r="A82" s="80"/>
      <c r="B82" s="80"/>
      <c r="C82" s="134"/>
      <c r="D82" s="134"/>
      <c r="E82" s="80"/>
      <c r="F82" s="80"/>
      <c r="I82" s="129"/>
      <c r="J82" s="130"/>
      <c r="K82" s="130"/>
      <c r="L82" s="131"/>
      <c r="M82" s="131"/>
      <c r="N82" s="138"/>
      <c r="Q82" s="64"/>
      <c r="R82" s="64"/>
      <c r="S82" s="64"/>
      <c r="T82" s="64"/>
      <c r="U82" s="64"/>
      <c r="V82" s="64"/>
      <c r="W82" s="64"/>
      <c r="X82" s="64"/>
      <c r="Y82" s="64"/>
      <c r="Z82" s="64"/>
      <c r="CF82" s="81"/>
      <c r="CG82" s="81"/>
      <c r="CH82" s="89"/>
      <c r="CI82" s="89"/>
    </row>
    <row r="83" spans="1:87" x14ac:dyDescent="0.25">
      <c r="A83" s="64"/>
      <c r="B83" s="64"/>
      <c r="C83" s="64"/>
      <c r="D83" s="157"/>
      <c r="E83" s="64"/>
      <c r="F83" s="64"/>
      <c r="G83" s="64"/>
      <c r="H83" s="64"/>
      <c r="I83" s="129"/>
      <c r="J83" s="130"/>
      <c r="K83" s="130"/>
      <c r="L83" s="139"/>
      <c r="M83" s="139"/>
      <c r="N83" s="123"/>
      <c r="Q83" s="64"/>
      <c r="R83" s="64"/>
      <c r="S83" s="64"/>
      <c r="T83" s="64"/>
      <c r="U83" s="64"/>
      <c r="V83" s="64"/>
      <c r="W83" s="64"/>
      <c r="X83" s="64"/>
      <c r="Y83" s="64"/>
      <c r="CF83" s="81" t="e">
        <f>IF(AND(#REF!&gt;=CH83,#REF!&lt;=CI83),"yes","no")</f>
        <v>#REF!</v>
      </c>
      <c r="CG83" s="81" t="str">
        <f>IF(AND($C$72&gt;CH83,$C$72&lt;=CI83),"yes","no")</f>
        <v>no</v>
      </c>
      <c r="CH83" s="89">
        <f>B80</f>
        <v>0</v>
      </c>
      <c r="CI83" s="89">
        <f>E80</f>
        <v>0</v>
      </c>
    </row>
    <row r="84" spans="1:87" x14ac:dyDescent="0.25">
      <c r="G84" s="126"/>
      <c r="H84" s="126"/>
      <c r="I84" s="64"/>
      <c r="J84" s="64"/>
      <c r="K84" s="84"/>
      <c r="L84" s="57"/>
      <c r="M84" s="57"/>
      <c r="Q84" s="84"/>
      <c r="R84" s="64"/>
      <c r="S84" s="64"/>
      <c r="T84" s="64"/>
      <c r="U84" s="64"/>
      <c r="V84" s="64"/>
      <c r="W84" s="64"/>
      <c r="X84" s="64"/>
      <c r="Y84" s="64"/>
      <c r="CF84" s="81" t="e">
        <f>IF(AND(#REF!&gt;=CH84,#REF!&lt;=CI84),"yes","no")</f>
        <v>#REF!</v>
      </c>
      <c r="CG84" s="81" t="str">
        <f>IF(AND($C$72&gt;CH84,$C$72&lt;=CI84),"yes","no")</f>
        <v>no</v>
      </c>
      <c r="CH84" s="89">
        <f>B81</f>
        <v>0</v>
      </c>
      <c r="CI84" s="89">
        <f>E81</f>
        <v>0</v>
      </c>
    </row>
    <row r="85" spans="1:87" ht="13.8" x14ac:dyDescent="0.25">
      <c r="A85" s="1"/>
      <c r="B85" s="1"/>
      <c r="C85" s="1"/>
      <c r="D85" s="90"/>
      <c r="E85" s="90"/>
      <c r="F85" s="18"/>
      <c r="G85" s="129"/>
      <c r="H85" s="129"/>
      <c r="J85" s="65"/>
      <c r="K85" s="65"/>
      <c r="N85" s="1"/>
      <c r="Q85" s="84"/>
      <c r="R85" s="64"/>
      <c r="S85" s="64"/>
      <c r="T85" s="64"/>
      <c r="U85" s="64"/>
      <c r="V85" s="64"/>
      <c r="W85" s="64"/>
      <c r="X85" s="84"/>
      <c r="Y85" s="84"/>
      <c r="CF85" s="81" t="e">
        <f>IF(AND(#REF!&gt;=CH85,#REF!&lt;=CI85),"yes","no")</f>
        <v>#REF!</v>
      </c>
      <c r="CG85" s="81" t="str">
        <f>IF(AND($C$72&gt;CH85,$C$72&lt;=CI85),"yes","no")</f>
        <v>no</v>
      </c>
      <c r="CH85" s="89"/>
      <c r="CI85" s="89"/>
    </row>
    <row r="86" spans="1:87" x14ac:dyDescent="0.25">
      <c r="A86" s="1"/>
      <c r="B86" s="1"/>
      <c r="C86" s="1"/>
      <c r="D86" s="18"/>
      <c r="E86" s="1"/>
      <c r="F86" s="1"/>
      <c r="G86" s="129"/>
      <c r="H86" s="129"/>
      <c r="I86" s="18"/>
      <c r="J86" s="1"/>
      <c r="K86" s="1"/>
      <c r="L86" s="140"/>
      <c r="M86" s="140"/>
      <c r="N86" s="1"/>
      <c r="Q86" s="84"/>
      <c r="R86" s="64"/>
      <c r="S86" s="64"/>
      <c r="T86" s="64"/>
      <c r="U86" s="64"/>
      <c r="V86" s="64"/>
      <c r="W86" s="64"/>
      <c r="X86" s="84"/>
      <c r="Y86" s="84"/>
    </row>
    <row r="87" spans="1:87" x14ac:dyDescent="0.25">
      <c r="A87" s="1"/>
      <c r="B87" s="1"/>
      <c r="C87" s="1"/>
      <c r="D87" s="18"/>
      <c r="E87" s="1"/>
      <c r="F87" s="1"/>
      <c r="G87" s="129"/>
      <c r="H87" s="129"/>
      <c r="I87" s="18"/>
      <c r="J87" s="18"/>
      <c r="K87" s="1"/>
      <c r="L87" s="1"/>
      <c r="M87" s="1"/>
      <c r="N87" s="1"/>
      <c r="Q87" s="64"/>
      <c r="R87" s="84"/>
      <c r="S87" s="84"/>
      <c r="T87" s="84"/>
      <c r="U87" s="84"/>
      <c r="V87" s="84"/>
      <c r="W87" s="84"/>
      <c r="X87" s="84"/>
      <c r="Y87" s="84"/>
    </row>
    <row r="88" spans="1:87" x14ac:dyDescent="0.25">
      <c r="G88" s="129"/>
      <c r="H88" s="129"/>
      <c r="I88" s="1"/>
      <c r="J88" s="1"/>
      <c r="K88" s="1"/>
      <c r="L88" s="1"/>
      <c r="M88" s="1"/>
      <c r="Q88" s="64"/>
      <c r="R88" s="84"/>
      <c r="S88" s="84"/>
      <c r="T88" s="84"/>
      <c r="U88" s="84"/>
      <c r="V88" s="84"/>
      <c r="W88" s="84"/>
      <c r="X88" s="64"/>
      <c r="Y88" s="64"/>
    </row>
    <row r="89" spans="1:87" x14ac:dyDescent="0.25">
      <c r="G89" s="129"/>
      <c r="H89" s="129"/>
      <c r="I89" s="65"/>
      <c r="J89" s="65"/>
      <c r="Q89" s="64"/>
      <c r="R89" s="84"/>
      <c r="S89" s="84"/>
      <c r="T89" s="84"/>
      <c r="U89" s="84"/>
      <c r="V89" s="84"/>
      <c r="W89" s="84"/>
      <c r="X89" s="64"/>
      <c r="Y89" s="64"/>
    </row>
    <row r="90" spans="1:87" x14ac:dyDescent="0.25">
      <c r="G90" s="129"/>
      <c r="H90" s="129"/>
      <c r="J90" s="65"/>
      <c r="K90" s="65"/>
      <c r="Q90" s="64"/>
      <c r="R90" s="64"/>
      <c r="S90" s="64"/>
      <c r="T90" s="64"/>
      <c r="U90" s="64"/>
      <c r="V90" s="64"/>
      <c r="W90" s="64"/>
      <c r="X90" s="64"/>
      <c r="Y90" s="64"/>
    </row>
    <row r="91" spans="1:87" x14ac:dyDescent="0.25">
      <c r="G91" s="129"/>
      <c r="H91" s="129"/>
      <c r="J91" s="65"/>
      <c r="K91" s="65"/>
      <c r="R91" s="64"/>
      <c r="S91" s="64"/>
      <c r="T91" s="64"/>
      <c r="U91" s="64"/>
      <c r="V91" s="64"/>
      <c r="W91" s="64"/>
      <c r="X91" s="64"/>
      <c r="Y91" s="64"/>
    </row>
    <row r="92" spans="1:87" x14ac:dyDescent="0.25">
      <c r="G92" s="129"/>
      <c r="H92" s="129"/>
      <c r="J92" s="65"/>
      <c r="K92" s="65"/>
      <c r="R92" s="64"/>
      <c r="S92" s="64"/>
      <c r="T92" s="64"/>
      <c r="U92" s="64"/>
      <c r="V92" s="64"/>
      <c r="W92" s="64"/>
    </row>
    <row r="93" spans="1:87" x14ac:dyDescent="0.25">
      <c r="G93" s="64"/>
      <c r="H93" s="64"/>
      <c r="R93" s="64"/>
      <c r="S93" s="64"/>
      <c r="T93" s="64"/>
      <c r="U93" s="64"/>
      <c r="V93" s="64"/>
      <c r="W93" s="64"/>
    </row>
    <row r="95" spans="1:87" x14ac:dyDescent="0.25">
      <c r="G95" s="18"/>
      <c r="H95" s="18"/>
    </row>
    <row r="96" spans="1:87" x14ac:dyDescent="0.25">
      <c r="G96" s="1"/>
      <c r="H96" s="1"/>
    </row>
    <row r="97" spans="7:8" x14ac:dyDescent="0.25">
      <c r="G97" s="1"/>
      <c r="H97" s="1"/>
    </row>
  </sheetData>
  <sheetProtection selectLockedCells="1"/>
  <mergeCells count="35">
    <mergeCell ref="E62:F62"/>
    <mergeCell ref="E63:F63"/>
    <mergeCell ref="E59:F59"/>
    <mergeCell ref="E35:F35"/>
    <mergeCell ref="E43:F43"/>
    <mergeCell ref="E51:F51"/>
    <mergeCell ref="P40:Q40"/>
    <mergeCell ref="A16:D16"/>
    <mergeCell ref="A25:B25"/>
    <mergeCell ref="A26:B26"/>
    <mergeCell ref="A23:B23"/>
    <mergeCell ref="A24:B24"/>
    <mergeCell ref="A10:B10"/>
    <mergeCell ref="A11:B11"/>
    <mergeCell ref="A12:B12"/>
    <mergeCell ref="M41:N41"/>
    <mergeCell ref="G4:I4"/>
    <mergeCell ref="A19:C19"/>
    <mergeCell ref="A13:B13"/>
    <mergeCell ref="A63:D63"/>
    <mergeCell ref="E64:F64"/>
    <mergeCell ref="E65:F65"/>
    <mergeCell ref="B1:C1"/>
    <mergeCell ref="A3:E3"/>
    <mergeCell ref="B4:C4"/>
    <mergeCell ref="A14:B14"/>
    <mergeCell ref="B6:C6"/>
    <mergeCell ref="A5:D5"/>
    <mergeCell ref="A8:B8"/>
    <mergeCell ref="A7:C7"/>
    <mergeCell ref="A9:B9"/>
    <mergeCell ref="B17:C17"/>
    <mergeCell ref="A20:B20"/>
    <mergeCell ref="A21:B21"/>
    <mergeCell ref="A22:B22"/>
  </mergeCells>
  <conditionalFormatting sqref="A5 B6">
    <cfRule type="expression" dxfId="19" priority="6">
      <formula>$B$4="No"</formula>
    </cfRule>
  </conditionalFormatting>
  <conditionalFormatting sqref="A19:C26">
    <cfRule type="expression" dxfId="18" priority="3">
      <formula>$B$17="No"</formula>
    </cfRule>
  </conditionalFormatting>
  <conditionalFormatting sqref="D9:D10 A9:A11 C9:C11 A13 C13 D21:D22 A21:A23 C21:C23 A25 C25">
    <cfRule type="expression" dxfId="17" priority="7">
      <formula>$B$6="No"</formula>
    </cfRule>
  </conditionalFormatting>
  <conditionalFormatting sqref="D27">
    <cfRule type="expression" dxfId="16" priority="20">
      <formula>$B$17="No"</formula>
    </cfRule>
  </conditionalFormatting>
  <conditionalFormatting sqref="D37 F38">
    <cfRule type="cellIs" dxfId="15" priority="14" operator="lessThan">
      <formula>-0.005</formula>
    </cfRule>
  </conditionalFormatting>
  <conditionalFormatting sqref="D45">
    <cfRule type="cellIs" dxfId="14" priority="13" operator="lessThan">
      <formula>0</formula>
    </cfRule>
  </conditionalFormatting>
  <conditionalFormatting sqref="D53">
    <cfRule type="cellIs" dxfId="13" priority="12" operator="lessThan">
      <formula>-0.01</formula>
    </cfRule>
  </conditionalFormatting>
  <conditionalFormatting sqref="D61">
    <cfRule type="cellIs" dxfId="12" priority="11" operator="lessThan">
      <formula>0</formula>
    </cfRule>
  </conditionalFormatting>
  <conditionalFormatting sqref="D72">
    <cfRule type="cellIs" dxfId="11" priority="18" stopIfTrue="1" operator="equal">
      <formula>"   Date not within the summer session"</formula>
    </cfRule>
  </conditionalFormatting>
  <conditionalFormatting sqref="E35 E36:F37 E43 E44:F45 E51 E52:F53 E59 E60:F61">
    <cfRule type="expression" dxfId="10" priority="4">
      <formula>$B$6="No"</formula>
    </cfRule>
  </conditionalFormatting>
  <conditionalFormatting sqref="E65:F65">
    <cfRule type="cellIs" dxfId="9" priority="5" operator="greaterThan">
      <formula>$E$63</formula>
    </cfRule>
  </conditionalFormatting>
  <conditionalFormatting sqref="F32">
    <cfRule type="cellIs" dxfId="8" priority="19" operator="greaterThan">
      <formula>$C$37+0.01</formula>
    </cfRule>
  </conditionalFormatting>
  <conditionalFormatting sqref="F33">
    <cfRule type="containsText" dxfId="7" priority="10" operator="containsText" text="Reduce May Compensation">
      <formula>NOT(ISERROR(SEARCH("Reduce May Compensation",F33)))</formula>
    </cfRule>
  </conditionalFormatting>
  <conditionalFormatting sqref="F39">
    <cfRule type="containsText" dxfId="6" priority="9" operator="containsText" text="Reduce Compensation">
      <formula>NOT(ISERROR(SEARCH("Reduce Compensation",F39)))</formula>
    </cfRule>
  </conditionalFormatting>
  <conditionalFormatting sqref="F41">
    <cfRule type="cellIs" dxfId="5" priority="1" operator="equal">
      <formula>"Reduce Compensation"</formula>
    </cfRule>
  </conditionalFormatting>
  <conditionalFormatting sqref="F49">
    <cfRule type="cellIs" dxfId="4" priority="8" operator="equal">
      <formula>"Reduce Compensation"</formula>
    </cfRule>
  </conditionalFormatting>
  <conditionalFormatting sqref="F57">
    <cfRule type="cellIs" dxfId="3" priority="2" operator="equal">
      <formula>"Reduce Compensation"</formula>
    </cfRule>
  </conditionalFormatting>
  <conditionalFormatting sqref="O38">
    <cfRule type="cellIs" dxfId="2" priority="17" operator="lessThan">
      <formula>0</formula>
    </cfRule>
  </conditionalFormatting>
  <conditionalFormatting sqref="P28:Q36 P37">
    <cfRule type="cellIs" dxfId="1" priority="16" operator="lessThan">
      <formula>0</formula>
    </cfRule>
  </conditionalFormatting>
  <conditionalFormatting sqref="P42:Q47">
    <cfRule type="cellIs" dxfId="0" priority="15" operator="lessThan">
      <formula>0</formula>
    </cfRule>
  </conditionalFormatting>
  <dataValidations count="1">
    <dataValidation type="list" allowBlank="1" showInputMessage="1" showErrorMessage="1" sqref="B4:C4 B6:C6 B17:C17" xr:uid="{46DF9AD0-A7AB-497D-8440-9CC9231EE2C4}">
      <formula1>$U$19:$U$20</formula1>
    </dataValidation>
  </dataValidations>
  <pageMargins left="0.75" right="0.75" top="0" bottom="0" header="0.5" footer="0.5"/>
  <pageSetup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2"/>
  <sheetViews>
    <sheetView zoomScale="80" zoomScaleNormal="80" workbookViewId="0">
      <selection activeCell="K7" sqref="K7"/>
    </sheetView>
  </sheetViews>
  <sheetFormatPr defaultRowHeight="13.2" x14ac:dyDescent="0.25"/>
  <cols>
    <col min="2" max="2" width="19.5546875" bestFit="1" customWidth="1"/>
    <col min="3" max="3" width="22.88671875" customWidth="1"/>
    <col min="4" max="4" width="28.6640625" customWidth="1"/>
    <col min="5" max="5" width="15" customWidth="1"/>
    <col min="6" max="6" width="15.44140625" bestFit="1" customWidth="1"/>
    <col min="7" max="7" width="22.5546875" bestFit="1" customWidth="1"/>
    <col min="8" max="8" width="19" bestFit="1" customWidth="1"/>
    <col min="9" max="9" width="23.33203125" customWidth="1"/>
    <col min="10" max="10" width="20.33203125" customWidth="1"/>
    <col min="11" max="11" width="14" customWidth="1"/>
    <col min="12" max="12" width="10.5546875" customWidth="1"/>
  </cols>
  <sheetData>
    <row r="1" spans="1:21" ht="23.4" thickBot="1" x14ac:dyDescent="0.45">
      <c r="A1" s="503" t="s">
        <v>108</v>
      </c>
      <c r="B1" s="503"/>
      <c r="C1" s="503"/>
      <c r="D1" s="503"/>
      <c r="E1" s="503"/>
      <c r="F1" s="503"/>
      <c r="I1" s="441" t="s">
        <v>176</v>
      </c>
      <c r="J1" s="402"/>
      <c r="K1" s="403"/>
    </row>
    <row r="2" spans="1:21" x14ac:dyDescent="0.25">
      <c r="B2" s="222">
        <f>'Compensation Planning Tool'!B1:C1</f>
        <v>0</v>
      </c>
      <c r="C2" s="504">
        <f>'Compensation Planning Tool'!E1</f>
        <v>0</v>
      </c>
      <c r="D2" s="504"/>
      <c r="E2" s="504"/>
      <c r="F2" s="504"/>
      <c r="G2" s="411">
        <f>'Compensation Planning Tool'!G1</f>
        <v>0</v>
      </c>
      <c r="I2" s="399"/>
      <c r="J2" s="185" t="s">
        <v>167</v>
      </c>
      <c r="K2" s="118" t="s">
        <v>168</v>
      </c>
    </row>
    <row r="3" spans="1:21" x14ac:dyDescent="0.25">
      <c r="B3" s="186"/>
      <c r="G3" s="120"/>
      <c r="I3" s="433" t="s">
        <v>188</v>
      </c>
      <c r="J3" s="437">
        <f>'Compensation Planning Tool'!$C$8/9*12</f>
        <v>0</v>
      </c>
      <c r="K3" s="400">
        <f>$J$3/12</f>
        <v>0</v>
      </c>
    </row>
    <row r="4" spans="1:21" x14ac:dyDescent="0.25">
      <c r="B4" s="183" t="s">
        <v>109</v>
      </c>
      <c r="C4" s="1"/>
      <c r="D4" s="98"/>
      <c r="E4" s="184" t="s">
        <v>110</v>
      </c>
      <c r="F4" s="184"/>
      <c r="G4" s="120"/>
      <c r="I4" s="433" t="str">
        <f>IF($K$7=TRUE, "NIH Salary 2026 Cap", " ")</f>
        <v xml:space="preserve"> </v>
      </c>
      <c r="J4" s="398" t="str">
        <f>IF($K$7=TRUE, 228000, " ")</f>
        <v xml:space="preserve"> </v>
      </c>
      <c r="K4" s="400" t="str">
        <f>IF($K$7=TRUE,$J$4/12, " ")</f>
        <v xml:space="preserve"> </v>
      </c>
    </row>
    <row r="5" spans="1:21" x14ac:dyDescent="0.25">
      <c r="B5" s="119"/>
      <c r="C5" s="176" t="s">
        <v>10</v>
      </c>
      <c r="D5" s="176" t="s">
        <v>13</v>
      </c>
      <c r="E5" s="177" t="s">
        <v>16</v>
      </c>
      <c r="F5" s="178" t="s">
        <v>19</v>
      </c>
      <c r="G5" s="120"/>
      <c r="I5" s="433" t="str">
        <f>IF($K$7=TRUE, "NIH Salary % of CU Salary", " ")</f>
        <v xml:space="preserve"> </v>
      </c>
      <c r="K5" s="442" t="str">
        <f>IF($K$7=TRUE,K4/K3,"100%")</f>
        <v>100%</v>
      </c>
    </row>
    <row r="6" spans="1:21" x14ac:dyDescent="0.25">
      <c r="B6" s="162" t="s">
        <v>5</v>
      </c>
      <c r="C6" s="99">
        <f>'Compensation Planning Tool'!B32</f>
        <v>46149</v>
      </c>
      <c r="D6" s="99">
        <f>'Compensation Planning Tool'!O5</f>
        <v>46174</v>
      </c>
      <c r="E6" s="161">
        <f>'Compensation Planning Tool'!O6</f>
        <v>46204</v>
      </c>
      <c r="F6" s="99">
        <f>'Compensation Planning Tool'!O7</f>
        <v>46235</v>
      </c>
      <c r="G6" s="120"/>
      <c r="I6" s="186"/>
      <c r="K6" s="120"/>
    </row>
    <row r="7" spans="1:21" ht="28.5" customHeight="1" x14ac:dyDescent="0.25">
      <c r="B7" s="162" t="s">
        <v>6</v>
      </c>
      <c r="C7" s="99">
        <f>'Compensation Planning Tool'!P4</f>
        <v>46173</v>
      </c>
      <c r="D7" s="99">
        <f>'Compensation Planning Tool'!P5</f>
        <v>46203</v>
      </c>
      <c r="E7" s="161">
        <f>'Compensation Planning Tool'!P6</f>
        <v>46234</v>
      </c>
      <c r="F7" s="99">
        <f>'Compensation Planning Tool'!C56</f>
        <v>46246</v>
      </c>
      <c r="G7" s="122"/>
      <c r="I7" s="494" t="s">
        <v>196</v>
      </c>
      <c r="J7" s="495"/>
      <c r="K7" s="438" t="b">
        <v>0</v>
      </c>
    </row>
    <row r="8" spans="1:21" ht="30" customHeight="1" thickBot="1" x14ac:dyDescent="0.3">
      <c r="B8" s="162" t="s">
        <v>92</v>
      </c>
      <c r="C8" s="164">
        <f>'Compensation Planning Tool'!E32</f>
        <v>0</v>
      </c>
      <c r="D8" s="164">
        <f>'Compensation Planning Tool'!E40</f>
        <v>0</v>
      </c>
      <c r="E8" s="163">
        <f>'Compensation Planning Tool'!E48</f>
        <v>16665.333333333332</v>
      </c>
      <c r="F8" s="396">
        <f>'Compensation Planning Tool'!E56</f>
        <v>6348.6984126984125</v>
      </c>
      <c r="G8" s="237" t="s">
        <v>111</v>
      </c>
      <c r="I8" s="496" t="str">
        <f>IF($K$7=TRUE, "12 Month Base Salary exceeds NIH Salary Cap", " ")</f>
        <v xml:space="preserve"> </v>
      </c>
      <c r="J8" s="497"/>
      <c r="K8" s="439" t="str">
        <f>IF(AND($K$7=TRUE,K3&gt;K4),"Yes","  ")</f>
        <v xml:space="preserve">  </v>
      </c>
    </row>
    <row r="9" spans="1:21" ht="13.8" thickBot="1" x14ac:dyDescent="0.3">
      <c r="B9" s="119" t="s">
        <v>112</v>
      </c>
      <c r="C9" s="219">
        <f>'Compensation Planning Tool'!B37</f>
        <v>0</v>
      </c>
      <c r="D9" s="164">
        <f>'Compensation Planning Tool'!B45</f>
        <v>0</v>
      </c>
      <c r="E9" s="164">
        <f>'Compensation Planning Tool'!B53</f>
        <v>0</v>
      </c>
      <c r="F9" s="164">
        <f>'Compensation Planning Tool'!B61</f>
        <v>0</v>
      </c>
      <c r="G9" s="238">
        <f>SUM(C9:F9)</f>
        <v>0</v>
      </c>
    </row>
    <row r="10" spans="1:21" ht="13.8" thickBot="1" x14ac:dyDescent="0.3">
      <c r="B10" s="141" t="s">
        <v>113</v>
      </c>
      <c r="C10" s="220">
        <f>'Compensation Planning Tool'!C34</f>
        <v>0</v>
      </c>
      <c r="D10" s="202">
        <f>'Compensation Planning Tool'!C42</f>
        <v>0</v>
      </c>
      <c r="E10" s="202">
        <f>'Compensation Planning Tool'!C50</f>
        <v>0</v>
      </c>
      <c r="F10" s="202">
        <f>'Compensation Planning Tool'!C58</f>
        <v>0</v>
      </c>
      <c r="G10" s="239">
        <f>SUM(C10:F10)</f>
        <v>0</v>
      </c>
    </row>
    <row r="11" spans="1:21" x14ac:dyDescent="0.25">
      <c r="U11" t="s">
        <v>192</v>
      </c>
    </row>
    <row r="12" spans="1:21" ht="13.8" x14ac:dyDescent="0.25">
      <c r="B12" s="502" t="s">
        <v>114</v>
      </c>
      <c r="C12" s="502"/>
      <c r="E12" s="481"/>
      <c r="F12" s="481"/>
      <c r="U12" t="s">
        <v>193</v>
      </c>
    </row>
    <row r="13" spans="1:21" ht="13.8" thickBot="1" x14ac:dyDescent="0.3">
      <c r="C13" s="142" t="s">
        <v>115</v>
      </c>
      <c r="D13" s="142" t="s">
        <v>116</v>
      </c>
      <c r="E13" s="192" t="s">
        <v>117</v>
      </c>
      <c r="F13" s="158" t="s">
        <v>118</v>
      </c>
      <c r="G13" s="158" t="s">
        <v>100</v>
      </c>
      <c r="H13" s="158" t="s">
        <v>119</v>
      </c>
      <c r="I13" s="377"/>
      <c r="U13" t="s">
        <v>194</v>
      </c>
    </row>
    <row r="14" spans="1:21" x14ac:dyDescent="0.25">
      <c r="B14" s="167"/>
      <c r="C14" s="412"/>
      <c r="D14" s="412"/>
      <c r="E14" s="413">
        <v>0</v>
      </c>
      <c r="F14" s="96">
        <f t="shared" ref="F14:F19" si="0">ROUND((SUMIF($C$25:$C$32,"="&amp;C14,$H$25:$H$32)+SUMIF($C$38:$C$45,"="&amp;C14,$H$38:$H$45)+SUMIF($C$51:$C$58,"="&amp;C14,$H$51:$H$58)+SUMIF($C$63:$C$70,"="&amp;C14,$H$63:$H$70)),2)</f>
        <v>0</v>
      </c>
      <c r="G14" s="414">
        <f t="shared" ref="G14:G19" si="1">E14-F14</f>
        <v>0</v>
      </c>
      <c r="H14" s="415">
        <f>IFERROR(F14/E14,0)</f>
        <v>0</v>
      </c>
      <c r="I14" s="416"/>
    </row>
    <row r="15" spans="1:21" x14ac:dyDescent="0.25">
      <c r="B15" s="167"/>
      <c r="C15" s="181"/>
      <c r="D15" s="181"/>
      <c r="E15" s="417">
        <v>0</v>
      </c>
      <c r="F15" s="96">
        <f t="shared" si="0"/>
        <v>0</v>
      </c>
      <c r="G15" s="96">
        <f t="shared" si="1"/>
        <v>0</v>
      </c>
      <c r="H15" s="418">
        <f t="shared" ref="H15:H19" si="2">IFERROR(F15/E15,0)</f>
        <v>0</v>
      </c>
      <c r="I15" s="419"/>
    </row>
    <row r="16" spans="1:21" x14ac:dyDescent="0.25">
      <c r="B16" s="167"/>
      <c r="C16" s="181"/>
      <c r="D16" s="181"/>
      <c r="E16" s="417">
        <v>0</v>
      </c>
      <c r="F16" s="96">
        <f t="shared" si="0"/>
        <v>0</v>
      </c>
      <c r="G16" s="96">
        <f t="shared" si="1"/>
        <v>0</v>
      </c>
      <c r="H16" s="418">
        <f t="shared" si="2"/>
        <v>0</v>
      </c>
      <c r="I16" s="419"/>
    </row>
    <row r="17" spans="1:10" x14ac:dyDescent="0.25">
      <c r="B17" s="167"/>
      <c r="C17" s="181"/>
      <c r="D17" s="181"/>
      <c r="E17" s="417">
        <v>0</v>
      </c>
      <c r="F17" s="96">
        <f t="shared" si="0"/>
        <v>0</v>
      </c>
      <c r="G17" s="96">
        <f t="shared" si="1"/>
        <v>0</v>
      </c>
      <c r="H17" s="418">
        <f t="shared" si="2"/>
        <v>0</v>
      </c>
      <c r="I17" s="419"/>
    </row>
    <row r="18" spans="1:10" x14ac:dyDescent="0.25">
      <c r="B18" s="167"/>
      <c r="C18" s="181"/>
      <c r="D18" s="181"/>
      <c r="E18" s="417">
        <v>0</v>
      </c>
      <c r="F18" s="96">
        <f t="shared" si="0"/>
        <v>0</v>
      </c>
      <c r="G18" s="96">
        <f t="shared" si="1"/>
        <v>0</v>
      </c>
      <c r="H18" s="418">
        <f t="shared" si="2"/>
        <v>0</v>
      </c>
      <c r="I18" s="419"/>
    </row>
    <row r="19" spans="1:10" ht="13.8" thickBot="1" x14ac:dyDescent="0.3">
      <c r="B19" s="167"/>
      <c r="C19" s="420"/>
      <c r="D19" s="420"/>
      <c r="E19" s="421">
        <v>0</v>
      </c>
      <c r="F19" s="96">
        <f t="shared" si="0"/>
        <v>0</v>
      </c>
      <c r="G19" s="422">
        <f t="shared" si="1"/>
        <v>0</v>
      </c>
      <c r="H19" s="423">
        <f t="shared" si="2"/>
        <v>0</v>
      </c>
      <c r="I19" s="424"/>
    </row>
    <row r="20" spans="1:10" x14ac:dyDescent="0.25">
      <c r="E20" s="5" t="s">
        <v>120</v>
      </c>
      <c r="F20" s="414">
        <f>SUM(F14:F19)</f>
        <v>0</v>
      </c>
    </row>
    <row r="22" spans="1:10" ht="13.8" x14ac:dyDescent="0.25">
      <c r="A22" s="179" t="s">
        <v>10</v>
      </c>
      <c r="B22" s="179" t="s">
        <v>121</v>
      </c>
      <c r="C22" s="180"/>
      <c r="D22" s="180"/>
    </row>
    <row r="23" spans="1:10" ht="13.8" x14ac:dyDescent="0.25">
      <c r="A23" s="165"/>
      <c r="B23" s="165"/>
      <c r="F23" s="500" t="s">
        <v>190</v>
      </c>
      <c r="G23" s="501"/>
    </row>
    <row r="24" spans="1:10" ht="42.75" customHeight="1" thickBot="1" x14ac:dyDescent="0.3">
      <c r="B24" s="142" t="s">
        <v>122</v>
      </c>
      <c r="C24" s="142" t="s">
        <v>115</v>
      </c>
      <c r="D24" s="142" t="s">
        <v>116</v>
      </c>
      <c r="E24" s="434" t="s">
        <v>191</v>
      </c>
      <c r="F24" s="435" t="s">
        <v>185</v>
      </c>
      <c r="G24" s="443" t="s">
        <v>186</v>
      </c>
      <c r="H24" s="440" t="s">
        <v>195</v>
      </c>
      <c r="I24" s="440" t="s">
        <v>189</v>
      </c>
      <c r="J24" s="158" t="s">
        <v>123</v>
      </c>
    </row>
    <row r="25" spans="1:10" ht="13.8" thickBot="1" x14ac:dyDescent="0.3">
      <c r="A25" s="167"/>
      <c r="B25" s="187">
        <f>C10</f>
        <v>0</v>
      </c>
      <c r="C25" s="181">
        <v>123456</v>
      </c>
      <c r="D25" s="181" t="s">
        <v>187</v>
      </c>
      <c r="E25" s="181" t="s">
        <v>192</v>
      </c>
      <c r="F25" s="235"/>
      <c r="G25" s="227"/>
      <c r="H25" s="229">
        <f>IF(F25&gt;0, F25*$B$25, G25)</f>
        <v>0</v>
      </c>
      <c r="I25" s="231">
        <f>IFERROR(H25/$B$25,0)</f>
        <v>0</v>
      </c>
      <c r="J25" s="96">
        <f>SUM(H25)</f>
        <v>0</v>
      </c>
    </row>
    <row r="26" spans="1:10" x14ac:dyDescent="0.25">
      <c r="A26" s="499"/>
      <c r="B26" s="499"/>
      <c r="C26" s="181"/>
      <c r="D26" s="181" t="str">
        <f>IF(AND(E25="NIH",$K$8="Yes"),"CU Salary Source for NIH Award","[Enter Project Name]")</f>
        <v>[Enter Project Name]</v>
      </c>
      <c r="E26" s="181"/>
      <c r="F26" s="235"/>
      <c r="G26" s="227" t="str">
        <f>IF(E26="CUB",H25/$K$5*(100%-$K$5)," ")</f>
        <v xml:space="preserve"> </v>
      </c>
      <c r="H26" s="229" t="str">
        <f t="shared" ref="H26:H32" si="3">IF(F26&gt;0, F26*$B$25, G26)</f>
        <v xml:space="preserve"> </v>
      </c>
      <c r="I26" s="231">
        <f t="shared" ref="I26:I32" si="4">IFERROR(H26/$B$25,0)</f>
        <v>0</v>
      </c>
      <c r="J26" s="96">
        <f>SUM(H25:H26)</f>
        <v>0</v>
      </c>
    </row>
    <row r="27" spans="1:10" x14ac:dyDescent="0.25">
      <c r="A27" s="499"/>
      <c r="B27" s="499"/>
      <c r="C27" s="181"/>
      <c r="D27" s="181" t="str">
        <f t="shared" ref="D27:D32" si="5">IF(AND(E26="NIH",$K$8="Yes"),"CU Salary Source for NIH Award","[Enter Project Name]")</f>
        <v>[Enter Project Name]</v>
      </c>
      <c r="E27" s="181" t="s">
        <v>192</v>
      </c>
      <c r="F27" s="235"/>
      <c r="G27" s="227"/>
      <c r="H27" s="229">
        <f t="shared" si="3"/>
        <v>0</v>
      </c>
      <c r="I27" s="231">
        <f t="shared" si="4"/>
        <v>0</v>
      </c>
      <c r="J27" s="96">
        <f>SUM($H$25:H27)</f>
        <v>0</v>
      </c>
    </row>
    <row r="28" spans="1:10" x14ac:dyDescent="0.25">
      <c r="A28" s="286"/>
      <c r="B28" s="498" t="s">
        <v>183</v>
      </c>
      <c r="C28" s="181"/>
      <c r="D28" s="181" t="str">
        <f t="shared" si="5"/>
        <v>[Enter Project Name]</v>
      </c>
      <c r="E28" s="181"/>
      <c r="F28" s="235"/>
      <c r="G28" s="227" t="str">
        <f t="shared" ref="G28:G32" si="6">IF(E28="CUB",H27/$K$5*(100%-$K$5)," ")</f>
        <v xml:space="preserve"> </v>
      </c>
      <c r="H28" s="229" t="str">
        <f t="shared" si="3"/>
        <v xml:space="preserve"> </v>
      </c>
      <c r="I28" s="231">
        <f t="shared" ref="I28:I29" si="7">IFERROR(H28/$B$25,0)</f>
        <v>0</v>
      </c>
      <c r="J28" s="96">
        <f>SUM($H$25:H28)</f>
        <v>0</v>
      </c>
    </row>
    <row r="29" spans="1:10" x14ac:dyDescent="0.25">
      <c r="A29" s="286"/>
      <c r="B29" s="498"/>
      <c r="C29" s="181"/>
      <c r="D29" s="181" t="str">
        <f t="shared" si="5"/>
        <v>[Enter Project Name]</v>
      </c>
      <c r="E29" s="181" t="s">
        <v>192</v>
      </c>
      <c r="F29" s="235"/>
      <c r="G29" s="227"/>
      <c r="H29" s="229">
        <f t="shared" si="3"/>
        <v>0</v>
      </c>
      <c r="I29" s="231">
        <f t="shared" si="7"/>
        <v>0</v>
      </c>
      <c r="J29" s="96">
        <f>SUM($H$25:H29)</f>
        <v>0</v>
      </c>
    </row>
    <row r="30" spans="1:10" x14ac:dyDescent="0.25">
      <c r="A30" s="167"/>
      <c r="B30" s="425">
        <f>B25-H33</f>
        <v>0</v>
      </c>
      <c r="C30" s="181"/>
      <c r="D30" s="181" t="str">
        <f t="shared" si="5"/>
        <v>[Enter Project Name]</v>
      </c>
      <c r="E30" s="181"/>
      <c r="F30" s="235"/>
      <c r="G30" s="227" t="str">
        <f t="shared" si="6"/>
        <v xml:space="preserve"> </v>
      </c>
      <c r="H30" s="229" t="str">
        <f t="shared" si="3"/>
        <v xml:space="preserve"> </v>
      </c>
      <c r="I30" s="231">
        <f t="shared" si="4"/>
        <v>0</v>
      </c>
      <c r="J30" s="96">
        <f>SUM($H$25:H30)</f>
        <v>0</v>
      </c>
    </row>
    <row r="31" spans="1:10" x14ac:dyDescent="0.25">
      <c r="A31" s="167"/>
      <c r="B31" s="426" t="str">
        <f>IF(B25=0,"0%",1-I33)</f>
        <v>0%</v>
      </c>
      <c r="C31" s="181"/>
      <c r="D31" s="181" t="str">
        <f t="shared" si="5"/>
        <v>[Enter Project Name]</v>
      </c>
      <c r="E31" s="181" t="s">
        <v>194</v>
      </c>
      <c r="F31" s="235"/>
      <c r="G31" s="227" t="str">
        <f t="shared" si="6"/>
        <v xml:space="preserve"> </v>
      </c>
      <c r="H31" s="229" t="str">
        <f t="shared" si="3"/>
        <v xml:space="preserve"> </v>
      </c>
      <c r="I31" s="231">
        <f t="shared" si="4"/>
        <v>0</v>
      </c>
      <c r="J31" s="96">
        <f>SUM($H$25:H31)</f>
        <v>0</v>
      </c>
    </row>
    <row r="32" spans="1:10" ht="13.8" thickBot="1" x14ac:dyDescent="0.3">
      <c r="A32" s="167"/>
      <c r="B32" s="149"/>
      <c r="C32" s="182"/>
      <c r="D32" s="182" t="str">
        <f t="shared" si="5"/>
        <v>[Enter Project Name]</v>
      </c>
      <c r="E32" s="182" t="s">
        <v>194</v>
      </c>
      <c r="F32" s="236"/>
      <c r="G32" s="228" t="str">
        <f t="shared" si="6"/>
        <v xml:space="preserve"> </v>
      </c>
      <c r="H32" s="229" t="str">
        <f t="shared" si="3"/>
        <v xml:space="preserve"> </v>
      </c>
      <c r="I32" s="232">
        <f t="shared" si="4"/>
        <v>0</v>
      </c>
      <c r="J32" s="151">
        <f>SUM($H$25:H32)</f>
        <v>0</v>
      </c>
    </row>
    <row r="33" spans="1:10" x14ac:dyDescent="0.25">
      <c r="E33" s="2" t="s">
        <v>124</v>
      </c>
      <c r="F33" s="231">
        <f>SUM(F25:F32)</f>
        <v>0</v>
      </c>
      <c r="G33" s="229">
        <f>SUM(G25:G32)</f>
        <v>0</v>
      </c>
      <c r="H33" s="444">
        <f>SUM(H25:H32)</f>
        <v>0</v>
      </c>
      <c r="I33" s="233">
        <f>SUM(I25:I32)</f>
        <v>0</v>
      </c>
    </row>
    <row r="34" spans="1:10" x14ac:dyDescent="0.25">
      <c r="H34" s="229"/>
      <c r="I34" s="230" t="s">
        <v>125</v>
      </c>
    </row>
    <row r="35" spans="1:10" ht="13.8" x14ac:dyDescent="0.25">
      <c r="A35" s="179" t="s">
        <v>13</v>
      </c>
      <c r="B35" s="179" t="s">
        <v>121</v>
      </c>
      <c r="C35" s="180"/>
      <c r="D35" s="180"/>
      <c r="H35" s="229"/>
    </row>
    <row r="36" spans="1:10" x14ac:dyDescent="0.25">
      <c r="F36" s="500" t="s">
        <v>190</v>
      </c>
      <c r="G36" s="501"/>
      <c r="H36" s="229"/>
    </row>
    <row r="37" spans="1:10" ht="27" thickBot="1" x14ac:dyDescent="0.3">
      <c r="B37" s="142" t="s">
        <v>122</v>
      </c>
      <c r="C37" s="142" t="s">
        <v>115</v>
      </c>
      <c r="D37" s="142" t="s">
        <v>116</v>
      </c>
      <c r="E37" s="434" t="s">
        <v>191</v>
      </c>
      <c r="F37" s="435" t="s">
        <v>185</v>
      </c>
      <c r="G37" s="436" t="s">
        <v>186</v>
      </c>
      <c r="H37" s="440" t="s">
        <v>195</v>
      </c>
      <c r="I37" s="440" t="s">
        <v>189</v>
      </c>
      <c r="J37" s="158" t="s">
        <v>123</v>
      </c>
    </row>
    <row r="38" spans="1:10" ht="13.8" thickBot="1" x14ac:dyDescent="0.3">
      <c r="A38" s="167"/>
      <c r="B38" s="187">
        <f>D10</f>
        <v>0</v>
      </c>
      <c r="C38" s="181"/>
      <c r="D38" s="181" t="str">
        <f t="shared" ref="D38" si="8">IF(AND(E37="Yes",$K$8="Yes"),"CU Salary Source for NIH Award","[Enter Project Name]")</f>
        <v>[Enter Project Name]</v>
      </c>
      <c r="E38" s="181" t="s">
        <v>192</v>
      </c>
      <c r="F38" s="235"/>
      <c r="G38" s="227"/>
      <c r="H38" s="229">
        <f t="shared" ref="H38:H45" si="9">IF(F38&gt;0, F38*$B$38, G38)</f>
        <v>0</v>
      </c>
      <c r="I38" s="231">
        <f>IFERROR(H38/$B$38,0)</f>
        <v>0</v>
      </c>
      <c r="J38" s="96">
        <f>SUM(H38)</f>
        <v>0</v>
      </c>
    </row>
    <row r="39" spans="1:10" ht="13.35" customHeight="1" x14ac:dyDescent="0.25">
      <c r="A39" s="499"/>
      <c r="B39" s="499"/>
      <c r="C39" s="181"/>
      <c r="D39" s="181" t="str">
        <f>IF(AND(E38="NIH",$K$8="Yes"),"CU Salary Source for NIH Award","[Enter Project Name]")</f>
        <v>[Enter Project Name]</v>
      </c>
      <c r="E39" s="181"/>
      <c r="F39" s="235"/>
      <c r="G39" s="227" t="str">
        <f>IF(E39="CUB",H38/$K$5*(100%-$K$5)," ")</f>
        <v xml:space="preserve"> </v>
      </c>
      <c r="H39" s="229" t="str">
        <f t="shared" si="9"/>
        <v xml:space="preserve"> </v>
      </c>
      <c r="I39" s="231">
        <f t="shared" ref="I39:I45" si="10">IFERROR(H39/$B$38,0)</f>
        <v>0</v>
      </c>
      <c r="J39" s="96">
        <f>SUM($H$38:H39)</f>
        <v>0</v>
      </c>
    </row>
    <row r="40" spans="1:10" x14ac:dyDescent="0.25">
      <c r="A40" s="499"/>
      <c r="B40" s="499"/>
      <c r="C40" s="181"/>
      <c r="D40" s="181" t="str">
        <f t="shared" ref="D40:D45" si="11">IF(AND(E39="NIH",$K$8="Yes"),"CU Salary Source for NIH Award","[Enter Project Name]")</f>
        <v>[Enter Project Name]</v>
      </c>
      <c r="E40" s="181" t="s">
        <v>192</v>
      </c>
      <c r="F40" s="235"/>
      <c r="G40" s="227"/>
      <c r="H40" s="229">
        <f t="shared" si="9"/>
        <v>0</v>
      </c>
      <c r="I40" s="231">
        <f t="shared" si="10"/>
        <v>0</v>
      </c>
      <c r="J40" s="96">
        <f>SUM($H$38:H40)</f>
        <v>0</v>
      </c>
    </row>
    <row r="41" spans="1:10" x14ac:dyDescent="0.25">
      <c r="A41" s="286"/>
      <c r="B41" s="498" t="s">
        <v>183</v>
      </c>
      <c r="C41" s="181"/>
      <c r="D41" s="181" t="str">
        <f t="shared" si="11"/>
        <v>[Enter Project Name]</v>
      </c>
      <c r="E41" s="181"/>
      <c r="F41" s="235"/>
      <c r="G41" s="227" t="str">
        <f t="shared" ref="G41" si="12">IF(E41="CUB",H40/$K$5*(100%-$K$5)," ")</f>
        <v xml:space="preserve"> </v>
      </c>
      <c r="H41" s="229" t="str">
        <f t="shared" si="9"/>
        <v xml:space="preserve"> </v>
      </c>
      <c r="I41" s="231">
        <f t="shared" ref="I41:I42" si="13">IFERROR(H41/$B$38,0)</f>
        <v>0</v>
      </c>
      <c r="J41" s="96">
        <f>SUM($H$38:H41)</f>
        <v>0</v>
      </c>
    </row>
    <row r="42" spans="1:10" x14ac:dyDescent="0.25">
      <c r="A42" s="286"/>
      <c r="B42" s="498"/>
      <c r="C42" s="181"/>
      <c r="D42" s="181" t="str">
        <f t="shared" si="11"/>
        <v>[Enter Project Name]</v>
      </c>
      <c r="E42" s="181" t="s">
        <v>192</v>
      </c>
      <c r="F42" s="235"/>
      <c r="G42" s="227"/>
      <c r="H42" s="229">
        <f t="shared" si="9"/>
        <v>0</v>
      </c>
      <c r="I42" s="231">
        <f t="shared" si="13"/>
        <v>0</v>
      </c>
      <c r="J42" s="96">
        <f>SUM($H$38:H42)</f>
        <v>0</v>
      </c>
    </row>
    <row r="43" spans="1:10" x14ac:dyDescent="0.25">
      <c r="A43" s="167"/>
      <c r="B43" s="425">
        <f>B38-H46</f>
        <v>0</v>
      </c>
      <c r="C43" s="181"/>
      <c r="D43" s="181" t="str">
        <f t="shared" si="11"/>
        <v>[Enter Project Name]</v>
      </c>
      <c r="E43" s="181"/>
      <c r="F43" s="235"/>
      <c r="G43" s="227" t="str">
        <f t="shared" ref="G43:G45" si="14">IF(E43="CUB",H42/$K$5*(100%-$K$5)," ")</f>
        <v xml:space="preserve"> </v>
      </c>
      <c r="H43" s="229" t="str">
        <f t="shared" si="9"/>
        <v xml:space="preserve"> </v>
      </c>
      <c r="I43" s="231">
        <f t="shared" si="10"/>
        <v>0</v>
      </c>
      <c r="J43" s="96">
        <f>SUM($H$38:H43)</f>
        <v>0</v>
      </c>
    </row>
    <row r="44" spans="1:10" x14ac:dyDescent="0.25">
      <c r="A44" s="167"/>
      <c r="B44" s="426" t="str">
        <f>IF(B38=0,"0%",1-I46)</f>
        <v>0%</v>
      </c>
      <c r="C44" s="181"/>
      <c r="D44" s="181" t="str">
        <f t="shared" si="11"/>
        <v>[Enter Project Name]</v>
      </c>
      <c r="E44" s="181" t="s">
        <v>194</v>
      </c>
      <c r="F44" s="235"/>
      <c r="G44" s="227" t="str">
        <f t="shared" si="14"/>
        <v xml:space="preserve"> </v>
      </c>
      <c r="H44" s="229" t="str">
        <f t="shared" si="9"/>
        <v xml:space="preserve"> </v>
      </c>
      <c r="I44" s="231">
        <f t="shared" si="10"/>
        <v>0</v>
      </c>
      <c r="J44" s="96">
        <f>SUM($H$38:H44)</f>
        <v>0</v>
      </c>
    </row>
    <row r="45" spans="1:10" ht="13.8" thickBot="1" x14ac:dyDescent="0.3">
      <c r="A45" s="167"/>
      <c r="B45" s="149"/>
      <c r="C45" s="182"/>
      <c r="D45" s="182" t="str">
        <f t="shared" si="11"/>
        <v>[Enter Project Name]</v>
      </c>
      <c r="E45" s="182" t="s">
        <v>194</v>
      </c>
      <c r="F45" s="236"/>
      <c r="G45" s="228" t="str">
        <f t="shared" si="14"/>
        <v xml:space="preserve"> </v>
      </c>
      <c r="H45" s="229" t="str">
        <f t="shared" si="9"/>
        <v xml:space="preserve"> </v>
      </c>
      <c r="I45" s="232">
        <f t="shared" si="10"/>
        <v>0</v>
      </c>
      <c r="J45" s="151">
        <f>SUM($H$38:H45)</f>
        <v>0</v>
      </c>
    </row>
    <row r="46" spans="1:10" x14ac:dyDescent="0.25">
      <c r="E46" s="2" t="s">
        <v>124</v>
      </c>
      <c r="F46" s="231">
        <f>SUM(F38:F45)</f>
        <v>0</v>
      </c>
      <c r="G46" s="229">
        <f>SUM(G38:G45)</f>
        <v>0</v>
      </c>
      <c r="H46" s="444">
        <f>SUM(H38:H45)</f>
        <v>0</v>
      </c>
      <c r="I46" s="233">
        <f>SUM(I38:I45)</f>
        <v>0</v>
      </c>
    </row>
    <row r="47" spans="1:10" x14ac:dyDescent="0.25">
      <c r="H47" s="229"/>
      <c r="I47" s="230" t="s">
        <v>125</v>
      </c>
    </row>
    <row r="48" spans="1:10" ht="13.8" x14ac:dyDescent="0.25">
      <c r="A48" s="179" t="s">
        <v>16</v>
      </c>
      <c r="B48" s="179" t="s">
        <v>121</v>
      </c>
      <c r="C48" s="180"/>
      <c r="D48" s="180"/>
      <c r="H48" s="229"/>
    </row>
    <row r="49" spans="1:10" x14ac:dyDescent="0.25">
      <c r="F49" s="500" t="s">
        <v>190</v>
      </c>
      <c r="G49" s="501"/>
      <c r="H49" s="229"/>
    </row>
    <row r="50" spans="1:10" ht="27" thickBot="1" x14ac:dyDescent="0.3">
      <c r="B50" s="142" t="s">
        <v>122</v>
      </c>
      <c r="C50" s="142" t="s">
        <v>115</v>
      </c>
      <c r="D50" s="142" t="s">
        <v>116</v>
      </c>
      <c r="E50" s="434" t="s">
        <v>191</v>
      </c>
      <c r="F50" s="435" t="s">
        <v>185</v>
      </c>
      <c r="G50" s="436" t="s">
        <v>186</v>
      </c>
      <c r="H50" s="440" t="s">
        <v>195</v>
      </c>
      <c r="I50" s="440" t="s">
        <v>189</v>
      </c>
      <c r="J50" s="158" t="s">
        <v>123</v>
      </c>
    </row>
    <row r="51" spans="1:10" ht="13.8" thickBot="1" x14ac:dyDescent="0.3">
      <c r="A51" s="167"/>
      <c r="B51" s="187">
        <f>E10</f>
        <v>0</v>
      </c>
      <c r="C51" s="181"/>
      <c r="D51" s="181" t="str">
        <f t="shared" ref="D51" si="15">IF(AND(E50="Yes",$K$8="Yes"),"CU Salary Source for NIH Award","[Enter Project Name]")</f>
        <v>[Enter Project Name]</v>
      </c>
      <c r="E51" s="181" t="s">
        <v>192</v>
      </c>
      <c r="F51" s="235"/>
      <c r="G51" s="227"/>
      <c r="H51" s="229">
        <f t="shared" ref="H51:H58" si="16">IF(F51&gt;0, F51*$B$51, G51)</f>
        <v>0</v>
      </c>
      <c r="I51" s="231">
        <f>IFERROR(H51/$B$51,0)</f>
        <v>0</v>
      </c>
      <c r="J51" s="96">
        <f>SUM(H51)</f>
        <v>0</v>
      </c>
    </row>
    <row r="52" spans="1:10" ht="13.35" customHeight="1" x14ac:dyDescent="0.25">
      <c r="A52" s="499"/>
      <c r="B52" s="499"/>
      <c r="C52" s="181"/>
      <c r="D52" s="181" t="str">
        <f>IF(AND(E51="NIH",$K$8="Yes"),"CU Salary Source for NIH Award","[Enter Project Name]")</f>
        <v>[Enter Project Name]</v>
      </c>
      <c r="E52" s="181"/>
      <c r="F52" s="235"/>
      <c r="G52" s="227" t="str">
        <f>IF(E52="CUB",H51/$K$5*(100%-$K$5)," ")</f>
        <v xml:space="preserve"> </v>
      </c>
      <c r="H52" s="229" t="str">
        <f t="shared" si="16"/>
        <v xml:space="preserve"> </v>
      </c>
      <c r="I52" s="231">
        <f t="shared" ref="I52:I59" si="17">IFERROR(H52/$B$51,0)</f>
        <v>0</v>
      </c>
      <c r="J52" s="96">
        <f>SUM(H51:H52)</f>
        <v>0</v>
      </c>
    </row>
    <row r="53" spans="1:10" x14ac:dyDescent="0.25">
      <c r="A53" s="499"/>
      <c r="B53" s="499"/>
      <c r="C53" s="181"/>
      <c r="D53" s="181" t="str">
        <f t="shared" ref="D53:D58" si="18">IF(AND(E52="NIH",$K$8="Yes"),"CU Salary Source for NIH Award","[Enter Project Name]")</f>
        <v>[Enter Project Name]</v>
      </c>
      <c r="E53" s="181" t="s">
        <v>192</v>
      </c>
      <c r="F53" s="235"/>
      <c r="G53" s="227"/>
      <c r="H53" s="229">
        <f t="shared" si="16"/>
        <v>0</v>
      </c>
      <c r="I53" s="231">
        <f t="shared" si="17"/>
        <v>0</v>
      </c>
      <c r="J53" s="96">
        <f>SUM($H$51:H53)</f>
        <v>0</v>
      </c>
    </row>
    <row r="54" spans="1:10" x14ac:dyDescent="0.25">
      <c r="A54" s="286"/>
      <c r="B54" s="498" t="s">
        <v>183</v>
      </c>
      <c r="C54" s="181"/>
      <c r="D54" s="181" t="str">
        <f t="shared" si="18"/>
        <v>[Enter Project Name]</v>
      </c>
      <c r="E54" s="181"/>
      <c r="F54" s="235"/>
      <c r="G54" s="227" t="str">
        <f t="shared" ref="G54" si="19">IF(E54="CUB",H53/$K$5*(100%-$K$5)," ")</f>
        <v xml:space="preserve"> </v>
      </c>
      <c r="H54" s="229" t="str">
        <f t="shared" si="16"/>
        <v xml:space="preserve"> </v>
      </c>
      <c r="I54" s="231">
        <f t="shared" ref="I54:I55" si="20">IFERROR(H54/$B$51,0)</f>
        <v>0</v>
      </c>
      <c r="J54" s="96">
        <f>SUM($H$51:H54)</f>
        <v>0</v>
      </c>
    </row>
    <row r="55" spans="1:10" x14ac:dyDescent="0.25">
      <c r="A55" s="167"/>
      <c r="B55" s="498"/>
      <c r="C55" s="181"/>
      <c r="D55" s="181" t="str">
        <f t="shared" si="18"/>
        <v>[Enter Project Name]</v>
      </c>
      <c r="E55" s="181" t="s">
        <v>192</v>
      </c>
      <c r="F55" s="235"/>
      <c r="G55" s="227"/>
      <c r="H55" s="229">
        <f t="shared" si="16"/>
        <v>0</v>
      </c>
      <c r="I55" s="231">
        <f t="shared" si="20"/>
        <v>0</v>
      </c>
      <c r="J55" s="96">
        <f>SUM($H$51:H55)</f>
        <v>0</v>
      </c>
    </row>
    <row r="56" spans="1:10" x14ac:dyDescent="0.25">
      <c r="A56" s="167"/>
      <c r="B56" s="425">
        <f>B51-H59</f>
        <v>0</v>
      </c>
      <c r="C56" s="181"/>
      <c r="D56" s="181" t="str">
        <f t="shared" si="18"/>
        <v>[Enter Project Name]</v>
      </c>
      <c r="E56" s="181"/>
      <c r="F56" s="235"/>
      <c r="G56" s="227" t="str">
        <f t="shared" ref="G56:G58" si="21">IF(E56="CUB",H55/$K$5*(100%-$K$5)," ")</f>
        <v xml:space="preserve"> </v>
      </c>
      <c r="H56" s="229" t="str">
        <f t="shared" si="16"/>
        <v xml:space="preserve"> </v>
      </c>
      <c r="I56" s="231">
        <f t="shared" si="17"/>
        <v>0</v>
      </c>
      <c r="J56" s="96">
        <f>SUM($H$51:H56)</f>
        <v>0</v>
      </c>
    </row>
    <row r="57" spans="1:10" x14ac:dyDescent="0.25">
      <c r="A57" s="167"/>
      <c r="B57" s="426" t="str">
        <f>IF(B51=0,"0%",1-I59)</f>
        <v>0%</v>
      </c>
      <c r="C57" s="181"/>
      <c r="D57" s="181" t="str">
        <f t="shared" si="18"/>
        <v>[Enter Project Name]</v>
      </c>
      <c r="E57" s="181" t="s">
        <v>194</v>
      </c>
      <c r="F57" s="235"/>
      <c r="G57" s="227" t="str">
        <f t="shared" si="21"/>
        <v xml:space="preserve"> </v>
      </c>
      <c r="H57" s="229" t="str">
        <f t="shared" si="16"/>
        <v xml:space="preserve"> </v>
      </c>
      <c r="I57" s="231">
        <f t="shared" si="17"/>
        <v>0</v>
      </c>
      <c r="J57" s="96">
        <f>SUM($H$51:H57)</f>
        <v>0</v>
      </c>
    </row>
    <row r="58" spans="1:10" ht="13.8" thickBot="1" x14ac:dyDescent="0.3">
      <c r="B58" s="149"/>
      <c r="C58" s="182"/>
      <c r="D58" s="182" t="str">
        <f t="shared" si="18"/>
        <v>[Enter Project Name]</v>
      </c>
      <c r="E58" s="182" t="s">
        <v>194</v>
      </c>
      <c r="F58" s="236"/>
      <c r="G58" s="228" t="str">
        <f t="shared" si="21"/>
        <v xml:space="preserve"> </v>
      </c>
      <c r="H58" s="229" t="str">
        <f t="shared" si="16"/>
        <v xml:space="preserve"> </v>
      </c>
      <c r="I58" s="232">
        <f t="shared" si="17"/>
        <v>0</v>
      </c>
      <c r="J58" s="151">
        <f>SUM($H$51:H58)</f>
        <v>0</v>
      </c>
    </row>
    <row r="59" spans="1:10" x14ac:dyDescent="0.25">
      <c r="E59" s="2" t="s">
        <v>124</v>
      </c>
      <c r="F59" s="231">
        <f>SUM(F51:F58)</f>
        <v>0</v>
      </c>
      <c r="G59" s="229">
        <f>SUM(G51:G58)</f>
        <v>0</v>
      </c>
      <c r="H59" s="444">
        <f>SUM(H51:H58)</f>
        <v>0</v>
      </c>
      <c r="I59" s="445">
        <f t="shared" si="17"/>
        <v>0</v>
      </c>
    </row>
    <row r="60" spans="1:10" ht="13.8" x14ac:dyDescent="0.25">
      <c r="A60" s="179" t="s">
        <v>19</v>
      </c>
      <c r="B60" s="179" t="s">
        <v>121</v>
      </c>
      <c r="C60" s="180"/>
      <c r="D60" s="180"/>
      <c r="H60" s="229"/>
      <c r="I60" s="230" t="s">
        <v>125</v>
      </c>
    </row>
    <row r="61" spans="1:10" x14ac:dyDescent="0.25">
      <c r="F61" s="500" t="s">
        <v>190</v>
      </c>
      <c r="G61" s="501"/>
      <c r="H61" s="229"/>
    </row>
    <row r="62" spans="1:10" ht="27" thickBot="1" x14ac:dyDescent="0.3">
      <c r="B62" s="142" t="s">
        <v>122</v>
      </c>
      <c r="C62" s="142" t="s">
        <v>115</v>
      </c>
      <c r="D62" s="142" t="s">
        <v>116</v>
      </c>
      <c r="E62" s="434" t="s">
        <v>191</v>
      </c>
      <c r="F62" s="435" t="s">
        <v>185</v>
      </c>
      <c r="G62" s="436" t="s">
        <v>186</v>
      </c>
      <c r="H62" s="440" t="s">
        <v>195</v>
      </c>
      <c r="I62" s="440" t="s">
        <v>189</v>
      </c>
      <c r="J62" s="158" t="s">
        <v>123</v>
      </c>
    </row>
    <row r="63" spans="1:10" ht="13.8" thickBot="1" x14ac:dyDescent="0.3">
      <c r="A63" s="167"/>
      <c r="B63" s="187">
        <f>F10</f>
        <v>0</v>
      </c>
      <c r="C63" s="181"/>
      <c r="D63" s="181" t="str">
        <f t="shared" ref="D63" si="22">IF(AND(E62="Yes",$K$8="Yes"),"CU Salary Source for NIH Award","[Enter Project Name]")</f>
        <v>[Enter Project Name]</v>
      </c>
      <c r="E63" s="181" t="s">
        <v>192</v>
      </c>
      <c r="F63" s="235"/>
      <c r="G63" s="227"/>
      <c r="H63" s="229">
        <f t="shared" ref="H63:H70" si="23">IF(F63&gt;0, F63*$B$63, G63)</f>
        <v>0</v>
      </c>
      <c r="I63" s="231">
        <f>IFERROR(H63/$B$63,0)</f>
        <v>0</v>
      </c>
      <c r="J63" s="96">
        <f>SUM(H63)</f>
        <v>0</v>
      </c>
    </row>
    <row r="64" spans="1:10" ht="13.35" customHeight="1" x14ac:dyDescent="0.25">
      <c r="A64" s="499"/>
      <c r="B64" s="499"/>
      <c r="C64" s="181"/>
      <c r="D64" s="181" t="str">
        <f>IF(AND(E63="NIH",$K$8="Yes"),"CU Salary Source for NIH Award","[Enter Project Name]")</f>
        <v>[Enter Project Name]</v>
      </c>
      <c r="E64" s="181"/>
      <c r="F64" s="235"/>
      <c r="G64" s="227" t="str">
        <f>IF(E64="CUB",H63/$K$5*(100%-$K$5)," ")</f>
        <v xml:space="preserve"> </v>
      </c>
      <c r="H64" s="229" t="str">
        <f t="shared" si="23"/>
        <v xml:space="preserve"> </v>
      </c>
      <c r="I64" s="231">
        <f t="shared" ref="I64" si="24">IFERROR(H64/$B$63,0)</f>
        <v>0</v>
      </c>
      <c r="J64" s="96">
        <f>SUM($H$63:H64)</f>
        <v>0</v>
      </c>
    </row>
    <row r="65" spans="1:10" ht="12.6" customHeight="1" x14ac:dyDescent="0.25">
      <c r="A65" s="499"/>
      <c r="B65" s="499"/>
      <c r="C65" s="181"/>
      <c r="D65" s="181" t="str">
        <f t="shared" ref="D65:D70" si="25">IF(AND(E64="NIH",$K$8="Yes"),"CU Salary Source for NIH Award","[Enter Project Name]")</f>
        <v>[Enter Project Name]</v>
      </c>
      <c r="E65" s="181" t="s">
        <v>192</v>
      </c>
      <c r="F65" s="235"/>
      <c r="G65" s="227"/>
      <c r="H65" s="229">
        <f t="shared" si="23"/>
        <v>0</v>
      </c>
      <c r="I65" s="231">
        <f t="shared" ref="I65:I70" si="26">IFERROR(H65/$B$63,0)</f>
        <v>0</v>
      </c>
      <c r="J65" s="96">
        <f>SUM($H$63:H65)</f>
        <v>0</v>
      </c>
    </row>
    <row r="66" spans="1:10" x14ac:dyDescent="0.25">
      <c r="A66" s="286"/>
      <c r="B66" s="498" t="s">
        <v>183</v>
      </c>
      <c r="C66" s="181"/>
      <c r="D66" s="181" t="str">
        <f t="shared" si="25"/>
        <v>[Enter Project Name]</v>
      </c>
      <c r="E66" s="181"/>
      <c r="F66" s="235"/>
      <c r="G66" s="227" t="str">
        <f t="shared" ref="G66" si="27">IF(E66="CUB",H65/$K$5*(100%-$K$5)," ")</f>
        <v xml:space="preserve"> </v>
      </c>
      <c r="H66" s="229" t="str">
        <f t="shared" si="23"/>
        <v xml:space="preserve"> </v>
      </c>
      <c r="I66" s="231">
        <f t="shared" si="26"/>
        <v>0</v>
      </c>
      <c r="J66" s="96">
        <f>SUM($H$63:H66)</f>
        <v>0</v>
      </c>
    </row>
    <row r="67" spans="1:10" x14ac:dyDescent="0.25">
      <c r="A67" s="167"/>
      <c r="B67" s="498"/>
      <c r="C67" s="181"/>
      <c r="D67" s="181" t="str">
        <f t="shared" si="25"/>
        <v>[Enter Project Name]</v>
      </c>
      <c r="E67" s="181" t="s">
        <v>192</v>
      </c>
      <c r="F67" s="235"/>
      <c r="G67" s="227"/>
      <c r="H67" s="229">
        <f t="shared" si="23"/>
        <v>0</v>
      </c>
      <c r="I67" s="231">
        <f t="shared" si="26"/>
        <v>0</v>
      </c>
      <c r="J67" s="96">
        <f>SUM($H$63:H67)</f>
        <v>0</v>
      </c>
    </row>
    <row r="68" spans="1:10" x14ac:dyDescent="0.25">
      <c r="A68" s="167"/>
      <c r="B68" s="425">
        <f>B63-H71</f>
        <v>0</v>
      </c>
      <c r="C68" s="181"/>
      <c r="D68" s="181" t="str">
        <f t="shared" si="25"/>
        <v>[Enter Project Name]</v>
      </c>
      <c r="E68" s="181"/>
      <c r="F68" s="235"/>
      <c r="G68" s="227" t="str">
        <f t="shared" ref="G68:G70" si="28">IF(E68="CUB",H67/$K$5*(100%-$K$5)," ")</f>
        <v xml:space="preserve"> </v>
      </c>
      <c r="H68" s="229" t="str">
        <f t="shared" si="23"/>
        <v xml:space="preserve"> </v>
      </c>
      <c r="I68" s="231">
        <f t="shared" si="26"/>
        <v>0</v>
      </c>
      <c r="J68" s="96">
        <f>SUM($H$63:H68)</f>
        <v>0</v>
      </c>
    </row>
    <row r="69" spans="1:10" x14ac:dyDescent="0.25">
      <c r="A69" s="167"/>
      <c r="B69" s="426" t="str">
        <f>IF(B63=0,"0%",1-I71)</f>
        <v>0%</v>
      </c>
      <c r="C69" s="181"/>
      <c r="D69" s="181" t="str">
        <f t="shared" si="25"/>
        <v>[Enter Project Name]</v>
      </c>
      <c r="E69" s="181" t="s">
        <v>194</v>
      </c>
      <c r="F69" s="235"/>
      <c r="G69" s="227" t="str">
        <f t="shared" si="28"/>
        <v xml:space="preserve"> </v>
      </c>
      <c r="H69" s="229" t="str">
        <f t="shared" si="23"/>
        <v xml:space="preserve"> </v>
      </c>
      <c r="I69" s="231">
        <f t="shared" si="26"/>
        <v>0</v>
      </c>
      <c r="J69" s="96">
        <f>SUM($H$63:H69)</f>
        <v>0</v>
      </c>
    </row>
    <row r="70" spans="1:10" ht="13.8" thickBot="1" x14ac:dyDescent="0.3">
      <c r="B70" s="149"/>
      <c r="C70" s="182"/>
      <c r="D70" s="182" t="str">
        <f t="shared" si="25"/>
        <v>[Enter Project Name]</v>
      </c>
      <c r="E70" s="182" t="s">
        <v>194</v>
      </c>
      <c r="F70" s="236"/>
      <c r="G70" s="228" t="str">
        <f t="shared" si="28"/>
        <v xml:space="preserve"> </v>
      </c>
      <c r="H70" s="229" t="str">
        <f t="shared" si="23"/>
        <v xml:space="preserve"> </v>
      </c>
      <c r="I70" s="232">
        <f t="shared" si="26"/>
        <v>0</v>
      </c>
      <c r="J70" s="151">
        <f>SUM($H$63:H70)</f>
        <v>0</v>
      </c>
    </row>
    <row r="71" spans="1:10" x14ac:dyDescent="0.25">
      <c r="E71" s="2" t="s">
        <v>124</v>
      </c>
      <c r="F71" s="231">
        <f>SUM(F63:F70)</f>
        <v>0</v>
      </c>
      <c r="G71" s="229">
        <f>SUM(G63:G70)</f>
        <v>0</v>
      </c>
      <c r="H71" s="444">
        <f>SUM(H63:H70)</f>
        <v>0</v>
      </c>
      <c r="I71" s="233">
        <f>SUM(I63:I70)</f>
        <v>0</v>
      </c>
    </row>
    <row r="72" spans="1:10" x14ac:dyDescent="0.25">
      <c r="I72" s="230" t="s">
        <v>125</v>
      </c>
    </row>
  </sheetData>
  <mergeCells count="18">
    <mergeCell ref="A1:F1"/>
    <mergeCell ref="A26:B27"/>
    <mergeCell ref="A39:B40"/>
    <mergeCell ref="F23:G23"/>
    <mergeCell ref="B28:B29"/>
    <mergeCell ref="F36:G36"/>
    <mergeCell ref="C2:F2"/>
    <mergeCell ref="I7:J7"/>
    <mergeCell ref="I8:J8"/>
    <mergeCell ref="B66:B67"/>
    <mergeCell ref="A64:B65"/>
    <mergeCell ref="A52:B53"/>
    <mergeCell ref="F49:G49"/>
    <mergeCell ref="F61:G61"/>
    <mergeCell ref="B12:C12"/>
    <mergeCell ref="E12:F12"/>
    <mergeCell ref="B41:B42"/>
    <mergeCell ref="B54:B55"/>
  </mergeCells>
  <conditionalFormatting sqref="F33 F46 F59 F71">
    <cfRule type="cellIs" dxfId="50" priority="23" operator="greaterThan">
      <formula>100%</formula>
    </cfRule>
  </conditionalFormatting>
  <conditionalFormatting sqref="G8">
    <cfRule type="cellIs" dxfId="49" priority="34" operator="lessThan">
      <formula>0</formula>
    </cfRule>
  </conditionalFormatting>
  <conditionalFormatting sqref="G14:G19">
    <cfRule type="cellIs" dxfId="48" priority="15" operator="lessThan">
      <formula>0</formula>
    </cfRule>
  </conditionalFormatting>
  <conditionalFormatting sqref="H14:H19">
    <cfRule type="cellIs" dxfId="47" priority="33" operator="greaterThan">
      <formula>1</formula>
    </cfRule>
  </conditionalFormatting>
  <conditionalFormatting sqref="I33">
    <cfRule type="cellIs" dxfId="46" priority="14" operator="greaterThan">
      <formula>1</formula>
    </cfRule>
  </conditionalFormatting>
  <conditionalFormatting sqref="I46">
    <cfRule type="cellIs" dxfId="45" priority="13" operator="greaterThan">
      <formula>1</formula>
    </cfRule>
  </conditionalFormatting>
  <conditionalFormatting sqref="I59">
    <cfRule type="cellIs" dxfId="44" priority="10" operator="greaterThan">
      <formula>1</formula>
    </cfRule>
  </conditionalFormatting>
  <conditionalFormatting sqref="I71">
    <cfRule type="cellIs" dxfId="43" priority="11" operator="greaterThan">
      <formula>1</formula>
    </cfRule>
  </conditionalFormatting>
  <conditionalFormatting sqref="J3">
    <cfRule type="cellIs" dxfId="42" priority="2" operator="greaterThanOrEqual">
      <formula>$L$4</formula>
    </cfRule>
  </conditionalFormatting>
  <conditionalFormatting sqref="K3">
    <cfRule type="cellIs" dxfId="41" priority="1" operator="greaterThanOrEqual">
      <formula>$M$4</formula>
    </cfRule>
  </conditionalFormatting>
  <dataValidations count="1">
    <dataValidation type="list" allowBlank="1" showInputMessage="1" showErrorMessage="1" sqref="E25:E32 E51:E58 E38:E45 E63:E70" xr:uid="{E190D359-8FC2-4C49-BB87-AFABCE8A266C}">
      <formula1>$U$11:$U$13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AA52"/>
  <sheetViews>
    <sheetView showGridLines="0" zoomScale="80" zoomScaleNormal="80" workbookViewId="0">
      <selection activeCell="Q27" sqref="Q27"/>
    </sheetView>
  </sheetViews>
  <sheetFormatPr defaultColWidth="9" defaultRowHeight="13.2" x14ac:dyDescent="0.25"/>
  <cols>
    <col min="1" max="1" width="7.5546875" style="91" customWidth="1"/>
    <col min="2" max="2" width="9" style="91" customWidth="1"/>
    <col min="3" max="3" width="10" style="91" customWidth="1"/>
    <col min="4" max="4" width="16.88671875" style="91" customWidth="1"/>
    <col min="5" max="5" width="17.33203125" style="91" customWidth="1"/>
    <col min="6" max="6" width="11.6640625" style="91" customWidth="1"/>
    <col min="7" max="7" width="9.88671875" style="91" customWidth="1"/>
    <col min="8" max="8" width="12.6640625" style="91" customWidth="1"/>
    <col min="9" max="9" width="9.6640625" style="91" customWidth="1"/>
    <col min="10" max="10" width="11.88671875" style="91" customWidth="1"/>
    <col min="11" max="11" width="9.6640625" style="91" customWidth="1"/>
    <col min="12" max="12" width="11.88671875" style="91" customWidth="1"/>
    <col min="13" max="13" width="10" style="91" customWidth="1"/>
    <col min="14" max="14" width="13.88671875" style="91" customWidth="1"/>
    <col min="15" max="15" width="12.5546875" style="91" customWidth="1"/>
    <col min="16" max="16" width="12" style="92" customWidth="1"/>
    <col min="17" max="17" width="13.33203125" style="91" customWidth="1"/>
    <col min="18" max="18" width="10.109375" style="91" customWidth="1"/>
    <col min="19" max="19" width="2.6640625" style="91" customWidth="1"/>
    <col min="20" max="20" width="12.33203125" style="91" customWidth="1"/>
    <col min="21" max="21" width="9" style="91"/>
    <col min="22" max="22" width="2.109375" style="91" customWidth="1"/>
    <col min="23" max="23" width="12.5546875" style="91" customWidth="1"/>
    <col min="24" max="24" width="9" style="91"/>
    <col min="25" max="25" width="2.5546875" style="91" customWidth="1"/>
    <col min="26" max="26" width="12.44140625" style="91" customWidth="1"/>
    <col min="27" max="27" width="10.5546875" style="91" customWidth="1"/>
    <col min="28" max="16384" width="9" style="91"/>
  </cols>
  <sheetData>
    <row r="1" spans="1:27" ht="15.6" x14ac:dyDescent="0.3">
      <c r="A1" s="95" t="s">
        <v>169</v>
      </c>
    </row>
    <row r="2" spans="1:27" ht="6" customHeight="1" x14ac:dyDescent="0.25"/>
    <row r="3" spans="1:27" ht="9" customHeight="1" x14ac:dyDescent="0.25">
      <c r="A3" s="307"/>
      <c r="B3" s="307"/>
      <c r="C3" s="307"/>
      <c r="D3" s="307"/>
      <c r="E3" s="307"/>
      <c r="F3" s="307"/>
      <c r="G3" s="307"/>
      <c r="H3" s="307"/>
      <c r="I3" s="307"/>
      <c r="J3" s="307"/>
      <c r="K3" s="307"/>
      <c r="L3" s="307"/>
      <c r="M3" s="307"/>
      <c r="N3" s="307"/>
      <c r="O3" s="307"/>
      <c r="P3" s="328"/>
      <c r="Y3" s="401" t="str">
        <f>'Compensation Planning Tool'!B17</f>
        <v>Yes</v>
      </c>
    </row>
    <row r="4" spans="1:27" x14ac:dyDescent="0.25">
      <c r="A4" s="340" t="s">
        <v>126</v>
      </c>
      <c r="B4" s="509">
        <f>'Compensation Planning Tool'!B1</f>
        <v>0</v>
      </c>
      <c r="C4" s="509"/>
      <c r="D4" s="509"/>
      <c r="E4" s="307"/>
      <c r="F4" s="341" t="s">
        <v>127</v>
      </c>
      <c r="G4" s="307"/>
      <c r="H4" s="307"/>
      <c r="I4" s="512">
        <f>'Compensation Planning Tool'!E1</f>
        <v>0</v>
      </c>
      <c r="J4" s="512"/>
      <c r="K4" s="512"/>
      <c r="L4" s="512"/>
      <c r="M4" s="512"/>
      <c r="N4" s="307"/>
      <c r="O4" s="307"/>
      <c r="P4" s="328"/>
    </row>
    <row r="5" spans="1:27" x14ac:dyDescent="0.25">
      <c r="A5" s="307"/>
      <c r="B5" s="342"/>
      <c r="C5" s="342"/>
      <c r="D5" s="343"/>
      <c r="E5" s="307"/>
      <c r="F5" s="307"/>
      <c r="G5" s="307"/>
      <c r="H5" s="307"/>
      <c r="I5" s="307"/>
      <c r="J5" s="307"/>
      <c r="K5" s="307"/>
      <c r="L5" s="307"/>
      <c r="M5" s="307"/>
      <c r="N5" s="307"/>
      <c r="O5" s="307"/>
      <c r="P5" s="328"/>
    </row>
    <row r="6" spans="1:27" x14ac:dyDescent="0.25">
      <c r="A6" s="307"/>
      <c r="B6" s="510" t="s">
        <v>128</v>
      </c>
      <c r="C6" s="510"/>
      <c r="D6" s="397" t="s">
        <v>165</v>
      </c>
      <c r="E6" s="393" t="s">
        <v>129</v>
      </c>
      <c r="F6" s="307"/>
      <c r="G6" s="340" t="s">
        <v>130</v>
      </c>
      <c r="H6" s="307"/>
      <c r="I6" s="512">
        <f>'Compensation Planning Tool'!G1</f>
        <v>0</v>
      </c>
      <c r="J6" s="512"/>
      <c r="K6" s="512"/>
      <c r="L6" s="512"/>
      <c r="M6" s="512"/>
      <c r="N6" s="307"/>
      <c r="O6" s="307"/>
      <c r="P6" s="328"/>
    </row>
    <row r="7" spans="1:27" x14ac:dyDescent="0.25">
      <c r="A7" s="307"/>
      <c r="B7" s="344"/>
      <c r="C7" s="345" t="s">
        <v>131</v>
      </c>
      <c r="D7" s="388">
        <f>'Compensation Planning Tool'!C8</f>
        <v>0</v>
      </c>
      <c r="E7" s="347">
        <f>'Compensation Planning Tool'!C20</f>
        <v>149988</v>
      </c>
      <c r="F7" s="346"/>
      <c r="G7" s="307"/>
      <c r="H7" s="306"/>
      <c r="I7" s="306"/>
      <c r="J7" s="306"/>
      <c r="K7" s="306"/>
      <c r="L7" s="306"/>
      <c r="M7" s="306"/>
      <c r="N7" s="306"/>
      <c r="O7" s="306"/>
      <c r="P7" s="306"/>
    </row>
    <row r="8" spans="1:27" ht="12.75" customHeight="1" x14ac:dyDescent="0.25">
      <c r="A8" s="307"/>
      <c r="B8" s="344"/>
      <c r="C8" s="345" t="s">
        <v>132</v>
      </c>
      <c r="D8" s="347">
        <f>D7/9</f>
        <v>0</v>
      </c>
      <c r="E8" s="347">
        <f>E7/9</f>
        <v>16665.333333333332</v>
      </c>
      <c r="F8" s="307"/>
      <c r="G8" s="307"/>
      <c r="H8" s="306"/>
      <c r="I8" s="345" t="s">
        <v>133</v>
      </c>
      <c r="J8" s="507" t="s">
        <v>31</v>
      </c>
      <c r="K8" s="508"/>
      <c r="N8" s="306"/>
      <c r="O8" s="306"/>
      <c r="P8" s="306"/>
    </row>
    <row r="9" spans="1:27" x14ac:dyDescent="0.25">
      <c r="A9" s="307"/>
      <c r="B9" s="344"/>
      <c r="C9" s="345" t="s">
        <v>134</v>
      </c>
      <c r="D9" s="347">
        <f>D7/3</f>
        <v>0</v>
      </c>
      <c r="E9" s="347">
        <f>E7/3</f>
        <v>49996</v>
      </c>
      <c r="F9" s="307"/>
      <c r="G9" s="307"/>
      <c r="H9" s="345"/>
      <c r="I9" s="345"/>
      <c r="J9" s="345"/>
      <c r="K9" s="307"/>
      <c r="L9" s="307"/>
      <c r="M9" s="307"/>
      <c r="N9" s="307"/>
      <c r="O9" s="328"/>
      <c r="P9" s="91"/>
    </row>
    <row r="10" spans="1:27" ht="14.25" customHeight="1" x14ac:dyDescent="0.25">
      <c r="A10" s="303"/>
      <c r="B10" s="511"/>
      <c r="C10" s="511"/>
      <c r="D10" s="304"/>
      <c r="E10" s="305"/>
      <c r="F10" s="306" t="s">
        <v>135</v>
      </c>
      <c r="G10" s="306"/>
      <c r="H10" s="306"/>
      <c r="I10" s="306"/>
      <c r="J10" s="306"/>
      <c r="K10" s="306"/>
      <c r="L10" s="306"/>
      <c r="M10" s="306"/>
      <c r="N10" s="306"/>
      <c r="O10" s="306"/>
      <c r="P10" s="328"/>
      <c r="Q10" s="446" t="s">
        <v>197</v>
      </c>
      <c r="R10" s="447"/>
      <c r="S10" s="447"/>
      <c r="T10" s="447"/>
      <c r="U10" s="447"/>
      <c r="V10" s="447"/>
      <c r="W10" s="447"/>
      <c r="X10" s="447"/>
      <c r="Y10" s="447"/>
      <c r="Z10" s="447"/>
      <c r="AA10" s="447"/>
    </row>
    <row r="11" spans="1:27" x14ac:dyDescent="0.25">
      <c r="A11" s="307"/>
      <c r="B11" s="307"/>
      <c r="C11" s="307"/>
      <c r="D11" s="308"/>
      <c r="E11" s="307"/>
      <c r="F11" s="307"/>
      <c r="G11" s="307"/>
      <c r="H11" s="307"/>
      <c r="I11" s="307"/>
      <c r="J11" s="307"/>
      <c r="K11" s="307"/>
      <c r="L11" s="307"/>
      <c r="M11" s="307"/>
      <c r="N11" s="307"/>
      <c r="O11" s="307"/>
      <c r="P11" s="328"/>
      <c r="Q11" s="448" t="s">
        <v>136</v>
      </c>
      <c r="R11" s="449">
        <f>A13</f>
        <v>46143</v>
      </c>
      <c r="S11" s="450"/>
      <c r="T11" s="450" t="s">
        <v>136</v>
      </c>
      <c r="U11" s="451">
        <f>A17</f>
        <v>46174</v>
      </c>
      <c r="V11" s="450"/>
      <c r="W11" s="449">
        <f>A21</f>
        <v>46204</v>
      </c>
      <c r="X11" s="451" t="str">
        <f>A20</f>
        <v>Month</v>
      </c>
      <c r="Y11" s="450"/>
      <c r="Z11" s="450" t="s">
        <v>136</v>
      </c>
      <c r="AA11" s="449">
        <f>A25</f>
        <v>46235</v>
      </c>
    </row>
    <row r="12" spans="1:27" s="94" customFormat="1" ht="27.75" customHeight="1" thickBot="1" x14ac:dyDescent="0.3">
      <c r="A12" s="309" t="s">
        <v>136</v>
      </c>
      <c r="B12" s="309" t="s">
        <v>137</v>
      </c>
      <c r="C12" s="309" t="s">
        <v>6</v>
      </c>
      <c r="D12" s="310" t="s">
        <v>138</v>
      </c>
      <c r="E12" s="311" t="s">
        <v>113</v>
      </c>
      <c r="F12" s="309" t="s">
        <v>139</v>
      </c>
      <c r="G12" s="309" t="s">
        <v>140</v>
      </c>
      <c r="H12" s="309" t="s">
        <v>139</v>
      </c>
      <c r="I12" s="309" t="s">
        <v>140</v>
      </c>
      <c r="J12" s="309" t="s">
        <v>139</v>
      </c>
      <c r="K12" s="309" t="s">
        <v>140</v>
      </c>
      <c r="L12" s="309" t="s">
        <v>139</v>
      </c>
      <c r="M12" s="309" t="s">
        <v>140</v>
      </c>
      <c r="N12" s="309" t="s">
        <v>112</v>
      </c>
      <c r="O12" s="309" t="s">
        <v>141</v>
      </c>
      <c r="P12" s="328"/>
      <c r="Q12" s="452" t="s">
        <v>198</v>
      </c>
      <c r="R12" s="453" t="s">
        <v>199</v>
      </c>
      <c r="S12" s="454"/>
      <c r="T12" s="452" t="s">
        <v>198</v>
      </c>
      <c r="U12" s="453" t="s">
        <v>199</v>
      </c>
      <c r="V12" s="452"/>
      <c r="W12" s="452" t="s">
        <v>198</v>
      </c>
      <c r="X12" s="453" t="s">
        <v>199</v>
      </c>
      <c r="Y12" s="453"/>
      <c r="Z12" s="452" t="s">
        <v>198</v>
      </c>
      <c r="AA12" s="453" t="s">
        <v>199</v>
      </c>
    </row>
    <row r="13" spans="1:27" ht="19.5" customHeight="1" thickBot="1" x14ac:dyDescent="0.3">
      <c r="A13" s="312">
        <v>46143</v>
      </c>
      <c r="B13" s="313">
        <v>46149</v>
      </c>
      <c r="C13" s="314">
        <v>46173</v>
      </c>
      <c r="D13" s="315">
        <f>'Compensation Planning Tool'!B34+'Compensation Planning Tool'!F37</f>
        <v>0</v>
      </c>
      <c r="E13" s="316">
        <f>'Compensation Planning Tool'!C34</f>
        <v>0</v>
      </c>
      <c r="F13" s="360">
        <f>'Funding Distribution'!C25</f>
        <v>123456</v>
      </c>
      <c r="G13" s="361">
        <f>SUMIF($Q$13:$Q$20,"="&amp;F13,$R$13:$R$20)</f>
        <v>0</v>
      </c>
      <c r="H13" s="362">
        <f>'Funding Distribution'!C26</f>
        <v>0</v>
      </c>
      <c r="I13" s="361">
        <f>SUMIF($Q$13:$Q$20,"="&amp;H13,$R$13:$R$20)</f>
        <v>0</v>
      </c>
      <c r="J13" s="363">
        <f>'Funding Distribution'!C27</f>
        <v>0</v>
      </c>
      <c r="K13" s="361">
        <f>SUMIF($Q$13:$Q$20,"="&amp;J13,$R$13:$R$20)</f>
        <v>0</v>
      </c>
      <c r="L13" s="459" t="str">
        <f>IF('Funding Distribution'!C28='Funding Distribution'!C26," ",'Funding Distribution'!C28)</f>
        <v xml:space="preserve"> </v>
      </c>
      <c r="M13" s="361">
        <f>SUMIF($Q$13:$Q$20,"="&amp;L13,$R$13:$R$20)</f>
        <v>0</v>
      </c>
      <c r="N13" s="364">
        <f>D13+E13</f>
        <v>0</v>
      </c>
      <c r="O13" s="321">
        <f>'Compensation Planning Tool'!E32</f>
        <v>0</v>
      </c>
      <c r="P13" s="328"/>
      <c r="Q13" s="455">
        <f>'Funding Distribution'!C25</f>
        <v>123456</v>
      </c>
      <c r="R13" s="456">
        <f>'Funding Distribution'!I25</f>
        <v>0</v>
      </c>
      <c r="S13" s="455"/>
      <c r="T13" s="455">
        <f>'Funding Distribution'!C38</f>
        <v>0</v>
      </c>
      <c r="U13" s="457">
        <f>'Funding Distribution'!I38</f>
        <v>0</v>
      </c>
      <c r="V13" s="454"/>
      <c r="W13" s="454">
        <f>'Funding Distribution'!C51</f>
        <v>0</v>
      </c>
      <c r="X13" s="457">
        <f>'Funding Distribution'!I51</f>
        <v>0</v>
      </c>
      <c r="Y13" s="454"/>
      <c r="Z13" s="454">
        <f>'Funding Distribution'!C63</f>
        <v>0</v>
      </c>
      <c r="AA13" s="457">
        <f>'Funding Distribution'!I63</f>
        <v>0</v>
      </c>
    </row>
    <row r="14" spans="1:27" ht="19.5" customHeight="1" thickBot="1" x14ac:dyDescent="0.3">
      <c r="A14" s="322"/>
      <c r="B14" s="322"/>
      <c r="C14" s="505" t="s">
        <v>142</v>
      </c>
      <c r="D14" s="506"/>
      <c r="E14" s="323">
        <f>'Compensation Planning Tool'!D34</f>
        <v>0</v>
      </c>
      <c r="F14" s="365">
        <f>'Funding Distribution'!C29</f>
        <v>0</v>
      </c>
      <c r="G14" s="366">
        <f>'Funding Distribution'!I29</f>
        <v>0</v>
      </c>
      <c r="H14" s="367">
        <f>'Funding Distribution'!C30</f>
        <v>0</v>
      </c>
      <c r="I14" s="366">
        <f>'Funding Distribution'!I30</f>
        <v>0</v>
      </c>
      <c r="J14" s="368">
        <f>'Funding Distribution'!C31</f>
        <v>0</v>
      </c>
      <c r="K14" s="366">
        <f>'Funding Distribution'!I31</f>
        <v>0</v>
      </c>
      <c r="L14" s="367">
        <f>'Funding Distribution'!C32</f>
        <v>0</v>
      </c>
      <c r="M14" s="366">
        <f>'Funding Distribution'!I32</f>
        <v>0</v>
      </c>
      <c r="N14" s="189" t="s">
        <v>143</v>
      </c>
      <c r="O14" s="324" t="str">
        <f>IF(O13-N13&lt;-0.51,"Yes","No")</f>
        <v>No</v>
      </c>
      <c r="P14" s="328"/>
      <c r="Q14" s="455">
        <f>'Funding Distribution'!C26</f>
        <v>0</v>
      </c>
      <c r="R14" s="456">
        <f>'Funding Distribution'!I26</f>
        <v>0</v>
      </c>
      <c r="S14" s="454"/>
      <c r="T14" s="455">
        <f>'Funding Distribution'!C39</f>
        <v>0</v>
      </c>
      <c r="U14" s="457">
        <f>'Funding Distribution'!I39</f>
        <v>0</v>
      </c>
      <c r="V14" s="454"/>
      <c r="W14" s="454">
        <f>'Funding Distribution'!C52</f>
        <v>0</v>
      </c>
      <c r="X14" s="457">
        <f>'Funding Distribution'!I52</f>
        <v>0</v>
      </c>
      <c r="Y14" s="454"/>
      <c r="Z14" s="454">
        <f>'Funding Distribution'!C64</f>
        <v>0</v>
      </c>
      <c r="AA14" s="457">
        <f>'Funding Distribution'!I64</f>
        <v>0</v>
      </c>
    </row>
    <row r="15" spans="1:27" x14ac:dyDescent="0.25">
      <c r="A15" s="307"/>
      <c r="B15" s="307"/>
      <c r="C15" s="325"/>
      <c r="D15" s="325"/>
      <c r="E15" s="326"/>
      <c r="F15" s="369"/>
      <c r="G15" s="370"/>
      <c r="H15" s="369"/>
      <c r="I15" s="370"/>
      <c r="J15" s="371"/>
      <c r="K15" s="370"/>
      <c r="L15" s="369"/>
      <c r="M15" s="370"/>
      <c r="N15" s="190"/>
      <c r="O15" s="328"/>
      <c r="P15" s="328"/>
      <c r="Q15" s="455">
        <f>'Funding Distribution'!C27</f>
        <v>0</v>
      </c>
      <c r="R15" s="456">
        <f>'Funding Distribution'!I27</f>
        <v>0</v>
      </c>
      <c r="S15" s="454"/>
      <c r="T15" s="455">
        <f>'Funding Distribution'!C40</f>
        <v>0</v>
      </c>
      <c r="U15" s="457">
        <f>'Funding Distribution'!I40</f>
        <v>0</v>
      </c>
      <c r="V15" s="454"/>
      <c r="W15" s="454">
        <f>'Funding Distribution'!C53</f>
        <v>0</v>
      </c>
      <c r="X15" s="457">
        <f>'Funding Distribution'!I53</f>
        <v>0</v>
      </c>
      <c r="Y15" s="454"/>
      <c r="Z15" s="454">
        <f>'Funding Distribution'!C65</f>
        <v>0</v>
      </c>
      <c r="AA15" s="457">
        <f>'Funding Distribution'!I65</f>
        <v>0</v>
      </c>
    </row>
    <row r="16" spans="1:27" ht="26.25" customHeight="1" thickBot="1" x14ac:dyDescent="0.3">
      <c r="A16" s="309" t="s">
        <v>136</v>
      </c>
      <c r="B16" s="309" t="s">
        <v>137</v>
      </c>
      <c r="C16" s="309" t="s">
        <v>6</v>
      </c>
      <c r="D16" s="310" t="s">
        <v>138</v>
      </c>
      <c r="E16" s="311" t="s">
        <v>113</v>
      </c>
      <c r="F16" s="309" t="s">
        <v>139</v>
      </c>
      <c r="G16" s="309" t="s">
        <v>140</v>
      </c>
      <c r="H16" s="309" t="s">
        <v>139</v>
      </c>
      <c r="I16" s="309" t="s">
        <v>140</v>
      </c>
      <c r="J16" s="329" t="s">
        <v>139</v>
      </c>
      <c r="K16" s="309" t="s">
        <v>140</v>
      </c>
      <c r="L16" s="309" t="s">
        <v>139</v>
      </c>
      <c r="M16" s="309" t="s">
        <v>140</v>
      </c>
      <c r="N16" s="309" t="s">
        <v>112</v>
      </c>
      <c r="O16" s="309" t="s">
        <v>141</v>
      </c>
      <c r="P16" s="328"/>
      <c r="Q16" s="455">
        <f>'Funding Distribution'!C28</f>
        <v>0</v>
      </c>
      <c r="R16" s="456">
        <f>'Funding Distribution'!I28</f>
        <v>0</v>
      </c>
      <c r="S16" s="454"/>
      <c r="T16" s="455">
        <f>'Funding Distribution'!C41</f>
        <v>0</v>
      </c>
      <c r="U16" s="457">
        <f>'Funding Distribution'!I41</f>
        <v>0</v>
      </c>
      <c r="V16" s="454"/>
      <c r="W16" s="454">
        <f>'Funding Distribution'!C54</f>
        <v>0</v>
      </c>
      <c r="X16" s="457">
        <f>'Funding Distribution'!I54</f>
        <v>0</v>
      </c>
      <c r="Y16" s="454"/>
      <c r="Z16" s="454">
        <f>'Funding Distribution'!C66</f>
        <v>0</v>
      </c>
      <c r="AA16" s="457">
        <f>'Funding Distribution'!I66</f>
        <v>0</v>
      </c>
    </row>
    <row r="17" spans="1:27" ht="18.75" customHeight="1" thickBot="1" x14ac:dyDescent="0.3">
      <c r="A17" s="330">
        <v>46174</v>
      </c>
      <c r="B17" s="331">
        <v>46174</v>
      </c>
      <c r="C17" s="332">
        <v>46203</v>
      </c>
      <c r="D17" s="333">
        <f>'Compensation Planning Tool'!B42+'Compensation Planning Tool'!F45</f>
        <v>0</v>
      </c>
      <c r="E17" s="334">
        <f>'Compensation Planning Tool'!C42</f>
        <v>0</v>
      </c>
      <c r="F17" s="372">
        <f>'Funding Distribution'!C38</f>
        <v>0</v>
      </c>
      <c r="G17" s="361">
        <f>SUMIF($T$13:$T$20,"="&amp;F17,$U$13:$U$20)</f>
        <v>0</v>
      </c>
      <c r="H17" s="373">
        <f>'Funding Distribution'!C39</f>
        <v>0</v>
      </c>
      <c r="I17" s="361">
        <f>SUMIF($T$13:$T$20,"="&amp;H17,$U$13:$U$20)</f>
        <v>0</v>
      </c>
      <c r="J17" s="374">
        <f>'Funding Distribution'!C40</f>
        <v>0</v>
      </c>
      <c r="K17" s="361">
        <f>SUMIF($T$13:$T$20,"="&amp;J17,$U$13:$U$20)</f>
        <v>0</v>
      </c>
      <c r="L17" s="458" t="str">
        <f>IF('Funding Distribution'!C39='Funding Distribution'!C41," ",'Funding Distribution'!C41)</f>
        <v xml:space="preserve"> </v>
      </c>
      <c r="M17" s="361">
        <f>SUMIF($T$13:$T$20,"="&amp;L17,$U$13:$U$20)</f>
        <v>0</v>
      </c>
      <c r="N17" s="375">
        <f>D17+E17</f>
        <v>0</v>
      </c>
      <c r="O17" s="392">
        <f>'Compensation Planning Tool'!E40</f>
        <v>0</v>
      </c>
      <c r="P17" s="328"/>
      <c r="Q17" s="455">
        <f>'Funding Distribution'!C29</f>
        <v>0</v>
      </c>
      <c r="R17" s="456">
        <f>'Funding Distribution'!I29</f>
        <v>0</v>
      </c>
      <c r="S17" s="454"/>
      <c r="T17" s="455">
        <f>'Funding Distribution'!C42</f>
        <v>0</v>
      </c>
      <c r="U17" s="457">
        <f>'Funding Distribution'!I42</f>
        <v>0</v>
      </c>
      <c r="V17" s="454"/>
      <c r="W17" s="454">
        <f>'Funding Distribution'!C55</f>
        <v>0</v>
      </c>
      <c r="X17" s="457">
        <f>'Funding Distribution'!I55</f>
        <v>0</v>
      </c>
      <c r="Y17" s="454"/>
      <c r="Z17" s="454">
        <f>'Funding Distribution'!C67</f>
        <v>0</v>
      </c>
      <c r="AA17" s="457">
        <f>'Funding Distribution'!I67</f>
        <v>0</v>
      </c>
    </row>
    <row r="18" spans="1:27" ht="19.5" customHeight="1" thickBot="1" x14ac:dyDescent="0.3">
      <c r="A18" s="322"/>
      <c r="B18" s="322"/>
      <c r="C18" s="505" t="s">
        <v>142</v>
      </c>
      <c r="D18" s="506"/>
      <c r="E18" s="323">
        <f>'Compensation Planning Tool'!D42</f>
        <v>0</v>
      </c>
      <c r="F18" s="365">
        <f>'Funding Distribution'!C42</f>
        <v>0</v>
      </c>
      <c r="G18" s="366">
        <f>'Funding Distribution'!I42</f>
        <v>0</v>
      </c>
      <c r="H18" s="367">
        <f>'Funding Distribution'!C43</f>
        <v>0</v>
      </c>
      <c r="I18" s="366">
        <f>'Funding Distribution'!I43</f>
        <v>0</v>
      </c>
      <c r="J18" s="368">
        <f>'Funding Distribution'!C44</f>
        <v>0</v>
      </c>
      <c r="K18" s="366">
        <f>'Funding Distribution'!I44</f>
        <v>0</v>
      </c>
      <c r="L18" s="367">
        <f>'Funding Distribution'!C45</f>
        <v>0</v>
      </c>
      <c r="M18" s="366">
        <f>'Funding Distribution'!I45</f>
        <v>0</v>
      </c>
      <c r="N18" s="189" t="s">
        <v>143</v>
      </c>
      <c r="O18" s="324" t="str">
        <f>IF(O17-N17&lt;-0.51,"Yes","No")</f>
        <v>No</v>
      </c>
      <c r="P18" s="328"/>
      <c r="Q18" s="455">
        <f>'Funding Distribution'!C30</f>
        <v>0</v>
      </c>
      <c r="R18" s="456">
        <f>'Funding Distribution'!I30</f>
        <v>0</v>
      </c>
      <c r="S18" s="454"/>
      <c r="T18" s="455">
        <f>'Funding Distribution'!C43</f>
        <v>0</v>
      </c>
      <c r="U18" s="457">
        <f>'Funding Distribution'!I43</f>
        <v>0</v>
      </c>
      <c r="V18" s="454"/>
      <c r="W18" s="454">
        <f>'Funding Distribution'!C56</f>
        <v>0</v>
      </c>
      <c r="X18" s="457">
        <f>'Funding Distribution'!I56</f>
        <v>0</v>
      </c>
      <c r="Y18" s="454"/>
      <c r="Z18" s="454">
        <f>'Funding Distribution'!C68</f>
        <v>0</v>
      </c>
      <c r="AA18" s="457">
        <f>'Funding Distribution'!I68</f>
        <v>0</v>
      </c>
    </row>
    <row r="19" spans="1:27" x14ac:dyDescent="0.25">
      <c r="A19" s="307"/>
      <c r="B19" s="307"/>
      <c r="C19" s="325"/>
      <c r="D19" s="325"/>
      <c r="E19" s="326"/>
      <c r="F19" s="369"/>
      <c r="G19" s="370"/>
      <c r="H19" s="369"/>
      <c r="I19" s="370"/>
      <c r="J19" s="371"/>
      <c r="K19" s="370"/>
      <c r="L19" s="369"/>
      <c r="M19" s="370"/>
      <c r="N19" s="190"/>
      <c r="O19" s="328"/>
      <c r="P19" s="328"/>
      <c r="Q19" s="455">
        <f>'Funding Distribution'!C31</f>
        <v>0</v>
      </c>
      <c r="R19" s="456">
        <f>'Funding Distribution'!I31</f>
        <v>0</v>
      </c>
      <c r="S19" s="454"/>
      <c r="T19" s="455">
        <f>'Funding Distribution'!C44</f>
        <v>0</v>
      </c>
      <c r="U19" s="457">
        <f>'Funding Distribution'!I44</f>
        <v>0</v>
      </c>
      <c r="V19" s="454"/>
      <c r="W19" s="454">
        <f>'Funding Distribution'!C57</f>
        <v>0</v>
      </c>
      <c r="X19" s="457">
        <f>'Funding Distribution'!I57</f>
        <v>0</v>
      </c>
      <c r="Y19" s="454"/>
      <c r="Z19" s="454">
        <f>'Funding Distribution'!C69</f>
        <v>0</v>
      </c>
      <c r="AA19" s="457">
        <f>'Funding Distribution'!I69</f>
        <v>0</v>
      </c>
    </row>
    <row r="20" spans="1:27" ht="27" customHeight="1" thickBot="1" x14ac:dyDescent="0.3">
      <c r="A20" s="309" t="s">
        <v>136</v>
      </c>
      <c r="B20" s="309" t="s">
        <v>137</v>
      </c>
      <c r="C20" s="309" t="s">
        <v>6</v>
      </c>
      <c r="D20" s="310" t="s">
        <v>138</v>
      </c>
      <c r="E20" s="311" t="s">
        <v>113</v>
      </c>
      <c r="F20" s="309" t="s">
        <v>139</v>
      </c>
      <c r="G20" s="309" t="s">
        <v>140</v>
      </c>
      <c r="H20" s="309" t="s">
        <v>139</v>
      </c>
      <c r="I20" s="309" t="s">
        <v>140</v>
      </c>
      <c r="J20" s="329" t="s">
        <v>139</v>
      </c>
      <c r="K20" s="309" t="s">
        <v>140</v>
      </c>
      <c r="L20" s="309" t="s">
        <v>139</v>
      </c>
      <c r="M20" s="309" t="s">
        <v>140</v>
      </c>
      <c r="N20" s="309" t="s">
        <v>112</v>
      </c>
      <c r="O20" s="309" t="s">
        <v>141</v>
      </c>
      <c r="P20" s="328"/>
      <c r="Q20" s="455">
        <f>'Funding Distribution'!C32</f>
        <v>0</v>
      </c>
      <c r="R20" s="456">
        <f>'Funding Distribution'!I32</f>
        <v>0</v>
      </c>
      <c r="S20" s="454"/>
      <c r="T20" s="455">
        <f>'Funding Distribution'!C45</f>
        <v>0</v>
      </c>
      <c r="U20" s="457">
        <f>'Funding Distribution'!I45</f>
        <v>0</v>
      </c>
      <c r="V20" s="454"/>
      <c r="W20" s="454">
        <f>'Funding Distribution'!C58</f>
        <v>0</v>
      </c>
      <c r="X20" s="457">
        <f>'Funding Distribution'!I58</f>
        <v>0</v>
      </c>
      <c r="Y20" s="454"/>
      <c r="Z20" s="454">
        <f>'Funding Distribution'!C70</f>
        <v>0</v>
      </c>
      <c r="AA20" s="457">
        <f>'Funding Distribution'!I70</f>
        <v>0</v>
      </c>
    </row>
    <row r="21" spans="1:27" ht="19.5" customHeight="1" thickBot="1" x14ac:dyDescent="0.3">
      <c r="A21" s="330">
        <v>46204</v>
      </c>
      <c r="B21" s="331">
        <v>46204</v>
      </c>
      <c r="C21" s="332">
        <v>46234</v>
      </c>
      <c r="D21" s="333">
        <f>'Compensation Planning Tool'!B50+'Compensation Planning Tool'!F53</f>
        <v>0</v>
      </c>
      <c r="E21" s="334">
        <f>'Compensation Planning Tool'!C50</f>
        <v>0</v>
      </c>
      <c r="F21" s="372">
        <f>'Funding Distribution'!C51</f>
        <v>0</v>
      </c>
      <c r="G21" s="361">
        <f>SUMIF($W$13:$W$20,"="&amp;F21,$X$13:$X$20)</f>
        <v>0</v>
      </c>
      <c r="H21" s="373">
        <f>'Funding Distribution'!C52</f>
        <v>0</v>
      </c>
      <c r="I21" s="361">
        <f>SUMIF($W$13:$W$20,"="&amp;H21,$X$13:$X$20)</f>
        <v>0</v>
      </c>
      <c r="J21" s="374">
        <f>'Funding Distribution'!C53</f>
        <v>0</v>
      </c>
      <c r="K21" s="361">
        <f>SUMIF($W$13:$W$20,"="&amp;J21,$X$13:$X$20)</f>
        <v>0</v>
      </c>
      <c r="L21" s="458" t="str">
        <f>IF('Funding Distribution'!C52='Funding Distribution'!C54," ",'Funding Distribution'!C54)</f>
        <v xml:space="preserve"> </v>
      </c>
      <c r="M21" s="361">
        <f>SUMIF($W$13:$W$20,"="&amp;L21,$X$13:$X$20)</f>
        <v>0</v>
      </c>
      <c r="N21" s="375">
        <f>D21+E21</f>
        <v>0</v>
      </c>
      <c r="O21" s="339">
        <f>'Compensation Planning Tool'!E48</f>
        <v>16665.333333333332</v>
      </c>
      <c r="P21" s="307" t="s">
        <v>28</v>
      </c>
    </row>
    <row r="22" spans="1:27" ht="18.75" customHeight="1" thickBot="1" x14ac:dyDescent="0.3">
      <c r="A22" s="322"/>
      <c r="B22" s="322"/>
      <c r="C22" s="505" t="s">
        <v>142</v>
      </c>
      <c r="D22" s="506"/>
      <c r="E22" s="323">
        <f>'Compensation Planning Tool'!D50</f>
        <v>0</v>
      </c>
      <c r="F22" s="365">
        <f>'Funding Distribution'!C55</f>
        <v>0</v>
      </c>
      <c r="G22" s="366">
        <f>'Funding Distribution'!I55</f>
        <v>0</v>
      </c>
      <c r="H22" s="367">
        <f>'Funding Distribution'!C56</f>
        <v>0</v>
      </c>
      <c r="I22" s="366">
        <f>'Funding Distribution'!I56</f>
        <v>0</v>
      </c>
      <c r="J22" s="368">
        <f>'Funding Distribution'!C57</f>
        <v>0</v>
      </c>
      <c r="K22" s="366">
        <f>'Funding Distribution'!I57</f>
        <v>0</v>
      </c>
      <c r="L22" s="367">
        <f>'Funding Distribution'!C58</f>
        <v>0</v>
      </c>
      <c r="M22" s="366">
        <f>'Funding Distribution'!I58</f>
        <v>0</v>
      </c>
      <c r="N22" s="189" t="s">
        <v>143</v>
      </c>
      <c r="O22" s="324" t="str">
        <f>IF(O21-N21&lt;-0.51,"Yes","No")</f>
        <v>No</v>
      </c>
      <c r="P22" s="307"/>
    </row>
    <row r="23" spans="1:27" ht="7.5" customHeight="1" x14ac:dyDescent="0.25">
      <c r="A23" s="307"/>
      <c r="B23" s="307"/>
      <c r="C23" s="325"/>
      <c r="D23" s="325"/>
      <c r="E23" s="326"/>
      <c r="F23" s="369"/>
      <c r="G23" s="370"/>
      <c r="H23" s="369"/>
      <c r="I23" s="370"/>
      <c r="J23" s="371"/>
      <c r="K23" s="370"/>
      <c r="L23" s="369"/>
      <c r="M23" s="370"/>
      <c r="N23" s="190"/>
      <c r="O23" s="328"/>
      <c r="P23" s="307"/>
    </row>
    <row r="24" spans="1:27" ht="27" customHeight="1" thickBot="1" x14ac:dyDescent="0.3">
      <c r="A24" s="309" t="s">
        <v>136</v>
      </c>
      <c r="B24" s="309" t="s">
        <v>137</v>
      </c>
      <c r="C24" s="309" t="s">
        <v>6</v>
      </c>
      <c r="D24" s="310" t="s">
        <v>138</v>
      </c>
      <c r="E24" s="311" t="s">
        <v>113</v>
      </c>
      <c r="F24" s="309" t="s">
        <v>139</v>
      </c>
      <c r="G24" s="309" t="s">
        <v>140</v>
      </c>
      <c r="H24" s="309" t="s">
        <v>139</v>
      </c>
      <c r="I24" s="309" t="s">
        <v>140</v>
      </c>
      <c r="J24" s="329" t="s">
        <v>139</v>
      </c>
      <c r="K24" s="309" t="s">
        <v>140</v>
      </c>
      <c r="L24" s="309" t="s">
        <v>139</v>
      </c>
      <c r="M24" s="309" t="s">
        <v>140</v>
      </c>
      <c r="N24" s="309" t="s">
        <v>112</v>
      </c>
      <c r="O24" s="309" t="s">
        <v>141</v>
      </c>
      <c r="P24" s="307"/>
    </row>
    <row r="25" spans="1:27" ht="18.75" customHeight="1" thickBot="1" x14ac:dyDescent="0.3">
      <c r="A25" s="330">
        <v>46235</v>
      </c>
      <c r="B25" s="331">
        <v>46235</v>
      </c>
      <c r="C25" s="332">
        <v>46246</v>
      </c>
      <c r="D25" s="333">
        <f>'Compensation Planning Tool'!B58</f>
        <v>0</v>
      </c>
      <c r="E25" s="316">
        <f>'Compensation Planning Tool'!C58</f>
        <v>0</v>
      </c>
      <c r="F25" s="335">
        <f>'Funding Distribution'!C63</f>
        <v>0</v>
      </c>
      <c r="G25" s="361">
        <f>SUMIF($Z$13:$Z$20,"="&amp;F25,$AA$13:$AA$20)</f>
        <v>0</v>
      </c>
      <c r="H25" s="336">
        <f>'Funding Distribution'!C64</f>
        <v>0</v>
      </c>
      <c r="I25" s="361">
        <f>SUMIF($Z$13:$Z$20,"="&amp;H25,$AA$13:$AA$20)</f>
        <v>0</v>
      </c>
      <c r="J25" s="337">
        <f>'Funding Distribution'!C65</f>
        <v>0</v>
      </c>
      <c r="K25" s="361">
        <f>SUMIF($Z$13:$Z$20,"="&amp;J25,$AA$13:$AA$20)</f>
        <v>0</v>
      </c>
      <c r="L25" s="460" t="str">
        <f>IF('Funding Distribution'!C64='Funding Distribution'!C66," ",'Funding Distribution'!C66)</f>
        <v xml:space="preserve"> </v>
      </c>
      <c r="M25" s="361">
        <f>SUMIF($Z$13:$Z$20,"="&amp;L25,$AA$13:$AA$20)</f>
        <v>0</v>
      </c>
      <c r="N25" s="338">
        <f>D25+E25</f>
        <v>0</v>
      </c>
      <c r="O25" s="339">
        <f>'Compensation Planning Tool'!E56</f>
        <v>6348.6984126984125</v>
      </c>
      <c r="P25" s="328"/>
    </row>
    <row r="26" spans="1:27" ht="19.5" customHeight="1" thickBot="1" x14ac:dyDescent="0.3">
      <c r="A26" s="307"/>
      <c r="B26" s="307"/>
      <c r="C26" s="505" t="s">
        <v>142</v>
      </c>
      <c r="D26" s="506"/>
      <c r="E26" s="323">
        <f>'Compensation Planning Tool'!D58</f>
        <v>0</v>
      </c>
      <c r="F26" s="317">
        <f>'Funding Distribution'!C67</f>
        <v>0</v>
      </c>
      <c r="G26" s="318">
        <f>'Funding Distribution'!I67</f>
        <v>0</v>
      </c>
      <c r="H26" s="319">
        <f>'Funding Distribution'!C68</f>
        <v>0</v>
      </c>
      <c r="I26" s="318">
        <f>'Funding Distribution'!I68</f>
        <v>0</v>
      </c>
      <c r="J26" s="320">
        <f>'Funding Distribution'!C69</f>
        <v>0</v>
      </c>
      <c r="K26" s="318">
        <f>'Funding Distribution'!I69</f>
        <v>0</v>
      </c>
      <c r="L26" s="319">
        <f>'Funding Distribution'!C70</f>
        <v>0</v>
      </c>
      <c r="M26" s="318">
        <f>'Funding Distribution'!I70</f>
        <v>0</v>
      </c>
      <c r="N26" s="188" t="s">
        <v>143</v>
      </c>
      <c r="O26" s="394" t="str">
        <f>IF(O25-N25&lt;-0.51,"Yes","No")</f>
        <v>No</v>
      </c>
      <c r="P26" s="328"/>
    </row>
    <row r="27" spans="1:27" ht="15" customHeight="1" x14ac:dyDescent="0.25"/>
    <row r="28" spans="1:27" ht="14.4" customHeight="1" x14ac:dyDescent="0.25">
      <c r="A28" s="348"/>
      <c r="B28" s="307"/>
      <c r="C28" s="325"/>
      <c r="D28" s="325"/>
      <c r="E28" s="349"/>
      <c r="F28" s="350"/>
      <c r="G28" s="351"/>
      <c r="H28" s="350"/>
      <c r="I28" s="351"/>
      <c r="J28" s="351"/>
      <c r="K28" s="351"/>
      <c r="L28" s="350"/>
      <c r="M28" s="351"/>
      <c r="N28" s="240"/>
      <c r="O28" s="328"/>
      <c r="P28" s="328"/>
    </row>
    <row r="29" spans="1:27" x14ac:dyDescent="0.25">
      <c r="A29" s="307" t="s">
        <v>144</v>
      </c>
      <c r="B29" s="307"/>
      <c r="C29" s="307"/>
      <c r="D29" s="307"/>
      <c r="E29" s="307"/>
      <c r="F29" s="307"/>
      <c r="G29" s="307"/>
      <c r="H29" s="307"/>
      <c r="I29" s="307"/>
      <c r="J29" s="307"/>
      <c r="K29" s="307"/>
      <c r="L29" s="307"/>
      <c r="M29" s="307"/>
      <c r="N29" s="307"/>
      <c r="O29" s="307"/>
      <c r="P29" s="328"/>
    </row>
    <row r="30" spans="1:27" x14ac:dyDescent="0.25">
      <c r="A30" s="307" t="s">
        <v>166</v>
      </c>
      <c r="B30" s="307"/>
      <c r="C30" s="307"/>
      <c r="D30" s="307"/>
      <c r="E30" s="307"/>
      <c r="F30" s="307"/>
      <c r="G30" s="307"/>
      <c r="H30" s="307"/>
      <c r="I30" s="307"/>
      <c r="J30" s="307"/>
      <c r="K30" s="307"/>
      <c r="L30" s="307"/>
      <c r="M30" s="307"/>
      <c r="N30" s="307"/>
      <c r="O30" s="307"/>
      <c r="P30" s="328"/>
    </row>
    <row r="31" spans="1:27" x14ac:dyDescent="0.25">
      <c r="A31" s="404" t="s">
        <v>145</v>
      </c>
      <c r="B31" s="307"/>
      <c r="C31" s="307"/>
      <c r="D31" s="307"/>
      <c r="E31" s="307"/>
      <c r="F31" s="307"/>
      <c r="G31" s="307"/>
      <c r="H31" s="307"/>
      <c r="I31" s="307"/>
      <c r="J31" s="307"/>
      <c r="K31" s="307"/>
      <c r="L31" s="307"/>
      <c r="M31" s="307"/>
      <c r="N31" s="307"/>
      <c r="O31" s="307"/>
      <c r="P31" s="328"/>
    </row>
    <row r="32" spans="1:27" x14ac:dyDescent="0.25">
      <c r="A32" s="307"/>
      <c r="B32" s="307"/>
      <c r="C32" s="307"/>
      <c r="D32" s="307"/>
      <c r="E32" s="307"/>
      <c r="F32" s="307"/>
      <c r="G32" s="307"/>
      <c r="H32" s="307"/>
      <c r="I32" s="307"/>
      <c r="J32" s="307"/>
      <c r="K32" s="307"/>
      <c r="L32" s="307"/>
      <c r="M32" s="327"/>
      <c r="N32" s="307"/>
      <c r="O32" s="307"/>
      <c r="P32" s="328"/>
    </row>
    <row r="33" spans="1:16" x14ac:dyDescent="0.25">
      <c r="A33" s="307" t="s">
        <v>146</v>
      </c>
      <c r="B33" s="307"/>
      <c r="C33" s="307"/>
      <c r="D33" s="327"/>
      <c r="E33" s="327"/>
      <c r="F33" s="327"/>
      <c r="G33" s="327"/>
      <c r="H33" s="327"/>
      <c r="I33" s="327"/>
      <c r="J33" s="327"/>
      <c r="K33" s="327"/>
      <c r="L33" s="327"/>
      <c r="M33" s="327"/>
      <c r="N33" s="327"/>
      <c r="O33" s="327"/>
      <c r="P33" s="328"/>
    </row>
    <row r="34" spans="1:16" ht="13.8" thickBot="1" x14ac:dyDescent="0.3">
      <c r="A34" s="352" t="s">
        <v>147</v>
      </c>
      <c r="B34" s="352"/>
      <c r="C34" s="352"/>
      <c r="D34" s="352"/>
      <c r="E34" s="352"/>
      <c r="F34" s="352"/>
      <c r="G34" s="352"/>
      <c r="H34" s="352"/>
      <c r="I34" s="352"/>
      <c r="J34" s="352"/>
      <c r="K34" s="352"/>
      <c r="L34" s="352"/>
      <c r="M34" s="352"/>
      <c r="N34" s="352"/>
      <c r="O34" s="352"/>
      <c r="P34" s="328"/>
    </row>
    <row r="35" spans="1:16" ht="13.8" thickTop="1" x14ac:dyDescent="0.25">
      <c r="A35" s="307"/>
      <c r="B35" s="307"/>
      <c r="C35" s="307"/>
      <c r="D35" s="307"/>
      <c r="E35" s="307"/>
      <c r="F35" s="307"/>
      <c r="G35" s="307"/>
      <c r="H35" s="307"/>
      <c r="I35" s="307"/>
      <c r="J35" s="307"/>
      <c r="K35" s="307"/>
      <c r="L35" s="307"/>
      <c r="M35" s="307"/>
      <c r="N35" s="353"/>
      <c r="O35" s="353"/>
      <c r="P35" s="328"/>
    </row>
    <row r="36" spans="1:16" x14ac:dyDescent="0.25">
      <c r="A36" s="307" t="s">
        <v>148</v>
      </c>
      <c r="B36" s="307"/>
      <c r="C36" s="307"/>
      <c r="D36" s="359"/>
      <c r="E36" s="359"/>
      <c r="F36" s="359"/>
      <c r="G36" s="359"/>
      <c r="H36" s="359"/>
      <c r="I36" s="359"/>
      <c r="J36" s="359"/>
      <c r="K36" s="307" t="s">
        <v>149</v>
      </c>
      <c r="L36" s="354"/>
      <c r="M36" s="355"/>
    </row>
    <row r="37" spans="1:16" x14ac:dyDescent="0.25">
      <c r="A37" s="328" t="s">
        <v>150</v>
      </c>
      <c r="B37" s="328"/>
      <c r="C37" s="328"/>
      <c r="D37" s="307"/>
      <c r="E37" s="307"/>
      <c r="F37" s="307"/>
      <c r="G37" s="307"/>
      <c r="H37" s="307"/>
      <c r="I37" s="307"/>
      <c r="J37" s="307"/>
      <c r="K37" s="307"/>
      <c r="L37" s="307"/>
      <c r="M37" s="328"/>
    </row>
    <row r="38" spans="1:16" x14ac:dyDescent="0.25">
      <c r="A38" s="307"/>
      <c r="B38" s="307"/>
      <c r="C38" s="307"/>
      <c r="D38" s="307"/>
      <c r="E38" s="307"/>
      <c r="F38" s="307"/>
      <c r="G38" s="307"/>
      <c r="H38" s="307"/>
      <c r="I38" s="307"/>
      <c r="J38" s="307"/>
      <c r="K38" s="307"/>
      <c r="L38" s="356"/>
      <c r="M38" s="307"/>
    </row>
    <row r="39" spans="1:16" x14ac:dyDescent="0.25">
      <c r="A39" s="307" t="s">
        <v>151</v>
      </c>
      <c r="B39" s="307"/>
      <c r="C39" s="307"/>
      <c r="D39" s="359"/>
      <c r="E39" s="359"/>
      <c r="F39" s="359"/>
      <c r="G39" s="359"/>
      <c r="H39" s="359"/>
      <c r="I39" s="359"/>
      <c r="J39" s="359"/>
      <c r="K39" s="307" t="s">
        <v>149</v>
      </c>
      <c r="L39" s="357"/>
      <c r="M39" s="358"/>
    </row>
    <row r="40" spans="1:16" x14ac:dyDescent="0.25">
      <c r="A40" s="328" t="s">
        <v>150</v>
      </c>
      <c r="B40" s="328"/>
      <c r="C40" s="328"/>
      <c r="D40" s="307"/>
      <c r="E40" s="307"/>
      <c r="F40" s="307"/>
      <c r="G40" s="307"/>
      <c r="H40" s="307"/>
      <c r="I40" s="307"/>
      <c r="J40" s="307"/>
      <c r="K40" s="307"/>
      <c r="L40" s="307"/>
      <c r="M40" s="307"/>
      <c r="N40" s="307"/>
      <c r="O40" s="307"/>
      <c r="P40" s="307"/>
    </row>
    <row r="41" spans="1:16" x14ac:dyDescent="0.25">
      <c r="P41" s="91"/>
    </row>
    <row r="42" spans="1:16" x14ac:dyDescent="0.25">
      <c r="A42" s="307" t="s">
        <v>152</v>
      </c>
      <c r="D42" s="359"/>
      <c r="E42" s="359"/>
      <c r="F42" s="359"/>
      <c r="G42" s="359"/>
      <c r="H42" s="359"/>
      <c r="I42" s="359"/>
      <c r="J42" s="359"/>
      <c r="K42" s="307" t="s">
        <v>149</v>
      </c>
      <c r="L42" s="357"/>
      <c r="M42" s="358"/>
      <c r="P42" s="93"/>
    </row>
    <row r="43" spans="1:16" x14ac:dyDescent="0.25">
      <c r="A43" s="376" t="s">
        <v>153</v>
      </c>
      <c r="P43" s="91"/>
    </row>
    <row r="44" spans="1:16" x14ac:dyDescent="0.25">
      <c r="A44" s="376" t="s">
        <v>154</v>
      </c>
      <c r="P44" s="91"/>
    </row>
    <row r="45" spans="1:16" x14ac:dyDescent="0.25">
      <c r="P45" s="91"/>
    </row>
    <row r="46" spans="1:16" x14ac:dyDescent="0.25">
      <c r="O46" s="92"/>
      <c r="P46" s="91"/>
    </row>
    <row r="47" spans="1:16" x14ac:dyDescent="0.25">
      <c r="O47" s="92"/>
      <c r="P47" s="91"/>
    </row>
    <row r="48" spans="1:16" x14ac:dyDescent="0.25">
      <c r="O48" s="92"/>
      <c r="P48" s="91"/>
    </row>
    <row r="49" spans="16:17" x14ac:dyDescent="0.25">
      <c r="P49" s="91"/>
      <c r="Q49" s="92"/>
    </row>
    <row r="50" spans="16:17" ht="13.5" customHeight="1" x14ac:dyDescent="0.25">
      <c r="P50" s="91"/>
      <c r="Q50" s="92"/>
    </row>
    <row r="51" spans="16:17" x14ac:dyDescent="0.25">
      <c r="P51" s="91"/>
      <c r="Q51" s="92"/>
    </row>
    <row r="52" spans="16:17" ht="13.5" customHeight="1" x14ac:dyDescent="0.25"/>
  </sheetData>
  <sheetProtection selectLockedCells="1"/>
  <mergeCells count="10">
    <mergeCell ref="C26:D26"/>
    <mergeCell ref="J8:K8"/>
    <mergeCell ref="B4:D4"/>
    <mergeCell ref="B6:C6"/>
    <mergeCell ref="B10:C10"/>
    <mergeCell ref="I4:M4"/>
    <mergeCell ref="I6:M6"/>
    <mergeCell ref="C14:D14"/>
    <mergeCell ref="C18:D18"/>
    <mergeCell ref="C22:D22"/>
  </mergeCells>
  <conditionalFormatting sqref="C28:D28">
    <cfRule type="expression" dxfId="40" priority="45">
      <formula>$E$26=0</formula>
    </cfRule>
  </conditionalFormatting>
  <conditionalFormatting sqref="E6:E9">
    <cfRule type="cellIs" dxfId="38" priority="27" operator="equal">
      <formula>$Y$3="No"</formula>
    </cfRule>
  </conditionalFormatting>
  <conditionalFormatting sqref="E14 E18 E22 E26 E28">
    <cfRule type="cellIs" dxfId="37" priority="49" operator="lessThanOrEqual">
      <formula>0</formula>
    </cfRule>
  </conditionalFormatting>
  <conditionalFormatting sqref="F13:M14">
    <cfRule type="cellIs" dxfId="36" priority="21" operator="equal">
      <formula>0</formula>
    </cfRule>
  </conditionalFormatting>
  <conditionalFormatting sqref="F17:M18">
    <cfRule type="cellIs" dxfId="35" priority="17" operator="equal">
      <formula>0</formula>
    </cfRule>
  </conditionalFormatting>
  <conditionalFormatting sqref="F21:M22">
    <cfRule type="expression" dxfId="34" priority="1">
      <formula>"&gt;"</formula>
    </cfRule>
    <cfRule type="cellIs" dxfId="33" priority="2" operator="equal">
      <formula>0</formula>
    </cfRule>
  </conditionalFormatting>
  <conditionalFormatting sqref="F25:M26">
    <cfRule type="expression" dxfId="32" priority="3">
      <formula>"&gt;"</formula>
    </cfRule>
    <cfRule type="cellIs" dxfId="31" priority="4" operator="equal">
      <formula>0</formula>
    </cfRule>
  </conditionalFormatting>
  <conditionalFormatting sqref="F28:M28">
    <cfRule type="expression" dxfId="30" priority="34">
      <formula>"&gt;"</formula>
    </cfRule>
    <cfRule type="cellIs" dxfId="29" priority="42" operator="equal">
      <formula>0</formula>
    </cfRule>
  </conditionalFormatting>
  <conditionalFormatting sqref="J8:K8">
    <cfRule type="cellIs" dxfId="28" priority="28" operator="equal">
      <formula>"PLEASE SELECT"</formula>
    </cfRule>
  </conditionalFormatting>
  <conditionalFormatting sqref="N18">
    <cfRule type="expression" dxfId="27" priority="40">
      <formula>$O$18=No</formula>
    </cfRule>
  </conditionalFormatting>
  <conditionalFormatting sqref="N14:O14">
    <cfRule type="expression" dxfId="26" priority="39">
      <formula>$O$14="No"</formula>
    </cfRule>
  </conditionalFormatting>
  <conditionalFormatting sqref="N18:O18">
    <cfRule type="expression" dxfId="25" priority="37">
      <formula>$O$18="No"</formula>
    </cfRule>
  </conditionalFormatting>
  <conditionalFormatting sqref="N22:O22">
    <cfRule type="expression" dxfId="24" priority="36">
      <formula>$O$22="No"</formula>
    </cfRule>
  </conditionalFormatting>
  <conditionalFormatting sqref="N26:O26 N28:O28">
    <cfRule type="expression" dxfId="23" priority="35">
      <formula>$O$26="No"</formula>
    </cfRule>
  </conditionalFormatting>
  <conditionalFormatting sqref="O14 O26 O28">
    <cfRule type="cellIs" dxfId="22" priority="54" operator="equal">
      <formula>"Yes"</formula>
    </cfRule>
  </conditionalFormatting>
  <conditionalFormatting sqref="O18:O19">
    <cfRule type="cellIs" dxfId="21" priority="53" operator="equal">
      <formula>"Yes"</formula>
    </cfRule>
  </conditionalFormatting>
  <conditionalFormatting sqref="O22:O23">
    <cfRule type="cellIs" dxfId="20" priority="52" operator="equal">
      <formula>"Yes"</formula>
    </cfRule>
  </conditionalFormatting>
  <dataValidations count="1">
    <dataValidation type="list" showInputMessage="1" showErrorMessage="1" sqref="D10 M32" xr:uid="{00000000-0002-0000-0300-000000000000}">
      <formula1>#REF!</formula1>
    </dataValidation>
  </dataValidations>
  <hyperlinks>
    <hyperlink ref="A31" r:id="rId1" xr:uid="{00000000-0004-0000-0300-000000000000}"/>
  </hyperlinks>
  <pageMargins left="0" right="0" top="0.25" bottom="0" header="0.3" footer="0.3"/>
  <pageSetup scale="79" orientation="landscape" r:id="rId2"/>
  <extLst>
    <ext xmlns:x14="http://schemas.microsoft.com/office/spreadsheetml/2009/9/main" uri="{78C0D931-6437-407d-A8EE-F0AAD7539E65}">
      <x14:conditionalFormattings>
        <x14:conditionalFormatting xmlns:xm="http://schemas.microsoft.com/office/excel/2006/main">
          <x14:cfRule type="expression" priority="26" id="{AE67A9FE-8EC0-4626-B33E-1A543608B1AD}">
            <xm:f>'Compensation Planning Tool'!$B$17="No"</xm:f>
            <x14:dxf>
              <font>
                <color theme="0"/>
              </font>
              <fill>
                <patternFill patternType="solid">
                  <bgColor theme="0"/>
                </patternFill>
              </fill>
            </x14:dxf>
          </x14:cfRule>
          <xm:sqref>E6:E9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'Compensation Planning Tool'!$U$13:$U$17</xm:f>
          </x14:formula1>
          <xm:sqref>K9</xm:sqref>
        </x14:dataValidation>
        <x14:dataValidation type="list" allowBlank="1" showInputMessage="1" showErrorMessage="1" xr:uid="{00000000-0002-0000-0300-000002000000}">
          <x14:formula1>
            <xm:f>'Compensation Planning Tool'!$U$11:$U$17</xm:f>
          </x14:formula1>
          <xm:sqref>J8:K8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6C36FA0798BA44A39A9B39078853B1" ma:contentTypeVersion="15" ma:contentTypeDescription="Create a new document." ma:contentTypeScope="" ma:versionID="83fe90dd4da5628cc8159da1a45f6d37">
  <xsd:schema xmlns:xsd="http://www.w3.org/2001/XMLSchema" xmlns:xs="http://www.w3.org/2001/XMLSchema" xmlns:p="http://schemas.microsoft.com/office/2006/metadata/properties" xmlns:ns3="11b623cf-94c6-4d1b-bf7c-d337402d8b17" xmlns:ns4="0db5ef75-2e6c-41b2-96d7-aace0cea1e68" targetNamespace="http://schemas.microsoft.com/office/2006/metadata/properties" ma:root="true" ma:fieldsID="b3438e5c81e0ba42fa1f9623bf46ba79" ns3:_="" ns4:_="">
    <xsd:import namespace="11b623cf-94c6-4d1b-bf7c-d337402d8b17"/>
    <xsd:import namespace="0db5ef75-2e6c-41b2-96d7-aace0cea1e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_activity"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623cf-94c6-4d1b-bf7c-d337402d8b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b5ef75-2e6c-41b2-96d7-aace0cea1e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db5ef75-2e6c-41b2-96d7-aace0cea1e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2DED1B-ADAE-42C5-A9F3-29BD1EA79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623cf-94c6-4d1b-bf7c-d337402d8b17"/>
    <ds:schemaRef ds:uri="0db5ef75-2e6c-41b2-96d7-aace0cea1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4E25C6-8B1E-40C2-A2CE-84D72BC670A7}">
  <ds:schemaRefs>
    <ds:schemaRef ds:uri="http://purl.org/dc/elements/1.1/"/>
    <ds:schemaRef ds:uri="0db5ef75-2e6c-41b2-96d7-aace0cea1e68"/>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1b623cf-94c6-4d1b-bf7c-d337402d8b17"/>
  </ds:schemaRefs>
</ds:datastoreItem>
</file>

<file path=customXml/itemProps3.xml><?xml version="1.0" encoding="utf-8"?>
<ds:datastoreItem xmlns:ds="http://schemas.openxmlformats.org/officeDocument/2006/customXml" ds:itemID="{C1F45897-6248-4B53-AF67-D31A1A262EAE}">
  <ds:schemaRefs>
    <ds:schemaRef ds:uri="http://schemas.microsoft.com/sharepoint/v3/contenttype/forms"/>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 &amp; Guide </vt:lpstr>
      <vt:lpstr>Compensation Planning Tool</vt:lpstr>
      <vt:lpstr>Funding Distribution</vt:lpstr>
      <vt:lpstr>Summer Request Form</vt:lpstr>
      <vt:lpstr>'Compensation Planning Tool'!Print_Area</vt:lpstr>
      <vt:lpstr>'Summer Request Form'!Print_Area</vt:lpstr>
    </vt:vector>
  </TitlesOfParts>
  <Manager/>
  <Company>University of Colorado at Boulder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Nelson</dc:creator>
  <cp:keywords/>
  <dc:description/>
  <cp:lastModifiedBy>Angela Cho</cp:lastModifiedBy>
  <cp:revision/>
  <cp:lastPrinted>2026-04-24T20:32:34Z</cp:lastPrinted>
  <dcterms:created xsi:type="dcterms:W3CDTF">2017-03-09T23:19:59Z</dcterms:created>
  <dcterms:modified xsi:type="dcterms:W3CDTF">2026-06-11T19:56:33Z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0x010100036C36FA0798BA44A39A9B39078853B1</vt:lpwstr>
  </property>
</Properties>
</file>